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.KENEDYCITY\Desktop\"/>
    </mc:Choice>
  </mc:AlternateContent>
  <bookViews>
    <workbookView xWindow="0" yWindow="0" windowWidth="28800" windowHeight="12210"/>
  </bookViews>
  <sheets>
    <sheet name="Proposed Budget" sheetId="1" r:id="rId1"/>
    <sheet name="Personnel Sched - Gen Admin" sheetId="2" r:id="rId2"/>
    <sheet name="Budget Req - Gen Admin" sheetId="3" r:id="rId3"/>
    <sheet name="Personnel Sched-PD" sheetId="4" r:id="rId4"/>
    <sheet name="Budget Req-PD" sheetId="5" r:id="rId5"/>
    <sheet name="Personnel Sched-Animal Cont" sheetId="6" r:id="rId6"/>
    <sheet name="Budget Req-Animal Cont." sheetId="7" r:id="rId7"/>
    <sheet name="Budget Req-KVFD" sheetId="9" r:id="rId8"/>
    <sheet name="Personnel Sched-Comm D" sheetId="10" r:id="rId9"/>
    <sheet name="Budget Req-Comm Dev" sheetId="11" r:id="rId10"/>
    <sheet name="Personnel Sched-Street" sheetId="12" r:id="rId11"/>
    <sheet name="Budget Req-Street" sheetId="13" r:id="rId12"/>
    <sheet name="Budget Req-Emer Mgmt" sheetId="14" r:id="rId13"/>
    <sheet name="Budget Req-Airport" sheetId="15" r:id="rId14"/>
    <sheet name="Budget Req-Library" sheetId="16" r:id="rId15"/>
    <sheet name="Personnel Sched-Park" sheetId="17" r:id="rId16"/>
    <sheet name="Budget Req-Park" sheetId="18" r:id="rId17"/>
    <sheet name="Personnel Sched-Muni Court" sheetId="19" r:id="rId18"/>
    <sheet name="Budget Req-Muni Court" sheetId="20" r:id="rId19"/>
    <sheet name="Personnel Sched-CodeComp" sheetId="31" r:id="rId20"/>
    <sheet name="Budget Req-CodeCompl" sheetId="32" r:id="rId21"/>
    <sheet name="Personnel Sched-Util Admin" sheetId="21" r:id="rId22"/>
    <sheet name="Budget Req-Util Admin" sheetId="22" r:id="rId23"/>
    <sheet name="Personnel Sched-WWTP" sheetId="29" r:id="rId24"/>
    <sheet name="Budget Req-WWTP" sheetId="25" r:id="rId25"/>
    <sheet name="Personnel Sched-RO" sheetId="30" r:id="rId26"/>
    <sheet name="Budget Req-RO" sheetId="24" r:id="rId27"/>
    <sheet name="Personnel Sched-W&amp;S O&amp;M " sheetId="28" r:id="rId28"/>
    <sheet name="Bud Req-W&amp;S O&amp;M" sheetId="26" r:id="rId29"/>
  </sheets>
  <definedNames>
    <definedName name="_xlnm.Print_Area" localSheetId="4">'Budget Req-PD'!$A$1:$F$96</definedName>
    <definedName name="_xlnm.Print_Area" localSheetId="0">'Proposed Budget'!$A$2:$L$1118</definedName>
  </definedNames>
  <calcPr calcId="162913"/>
</workbook>
</file>

<file path=xl/calcChain.xml><?xml version="1.0" encoding="utf-8"?>
<calcChain xmlns="http://schemas.openxmlformats.org/spreadsheetml/2006/main">
  <c r="K573" i="1" l="1"/>
  <c r="K562" i="1"/>
  <c r="K1088" i="1" l="1"/>
  <c r="K1075" i="1"/>
  <c r="K1060" i="1"/>
  <c r="K1082" i="1" s="1"/>
  <c r="K1090" i="1" s="1"/>
  <c r="K1035" i="1"/>
  <c r="K1034" i="1"/>
  <c r="K921" i="1"/>
  <c r="K913" i="1"/>
  <c r="K897" i="1"/>
  <c r="K889" i="1"/>
  <c r="K877" i="1"/>
  <c r="K869" i="1"/>
  <c r="K879" i="1" s="1"/>
  <c r="K855" i="1"/>
  <c r="K852" i="1"/>
  <c r="K847" i="1"/>
  <c r="K840" i="1"/>
  <c r="K836" i="1"/>
  <c r="K831" i="1"/>
  <c r="K826" i="1"/>
  <c r="K815" i="1"/>
  <c r="K805" i="1"/>
  <c r="K791" i="1"/>
  <c r="K788" i="1"/>
  <c r="K782" i="1"/>
  <c r="K778" i="1"/>
  <c r="K774" i="1"/>
  <c r="K768" i="1"/>
  <c r="K764" i="1"/>
  <c r="K753" i="1"/>
  <c r="K743" i="1"/>
  <c r="K727" i="1"/>
  <c r="K722" i="1"/>
  <c r="K724" i="1" s="1"/>
  <c r="K719" i="1"/>
  <c r="K716" i="1"/>
  <c r="K712" i="1"/>
  <c r="K705" i="1"/>
  <c r="K702" i="1"/>
  <c r="K689" i="1"/>
  <c r="K675" i="1"/>
  <c r="K678" i="1" s="1"/>
  <c r="K664" i="1"/>
  <c r="K656" i="1"/>
  <c r="K654" i="1"/>
  <c r="K650" i="1"/>
  <c r="K648" i="1"/>
  <c r="K644" i="1"/>
  <c r="K640" i="1"/>
  <c r="K638" i="1"/>
  <c r="K628" i="1"/>
  <c r="K619" i="1"/>
  <c r="K606" i="1"/>
  <c r="K602" i="1"/>
  <c r="K597" i="1"/>
  <c r="K593" i="1"/>
  <c r="K586" i="1"/>
  <c r="K585" i="1"/>
  <c r="K584" i="1"/>
  <c r="K583" i="1"/>
  <c r="K569" i="1"/>
  <c r="K564" i="1"/>
  <c r="K559" i="1"/>
  <c r="K555" i="1"/>
  <c r="K553" i="1"/>
  <c r="K544" i="1"/>
  <c r="K535" i="1"/>
  <c r="K522" i="1"/>
  <c r="K520" i="1"/>
  <c r="K518" i="1"/>
  <c r="K513" i="1"/>
  <c r="K509" i="1"/>
  <c r="K507" i="1"/>
  <c r="K496" i="1"/>
  <c r="K489" i="1"/>
  <c r="K474" i="1"/>
  <c r="K471" i="1"/>
  <c r="K468" i="1"/>
  <c r="K465" i="1"/>
  <c r="K461" i="1"/>
  <c r="K457" i="1"/>
  <c r="K451" i="1"/>
  <c r="K440" i="1"/>
  <c r="K420" i="1"/>
  <c r="K424" i="1"/>
  <c r="K422" i="1"/>
  <c r="K417" i="1"/>
  <c r="K398" i="1"/>
  <c r="K410" i="1"/>
  <c r="K406" i="1"/>
  <c r="K401" i="1"/>
  <c r="K391" i="1"/>
  <c r="K389" i="1"/>
  <c r="K387" i="1"/>
  <c r="K385" i="1"/>
  <c r="K382" i="1"/>
  <c r="K373" i="1"/>
  <c r="K366" i="1"/>
  <c r="K362" i="1"/>
  <c r="K358" i="1"/>
  <c r="K353" i="1"/>
  <c r="K347" i="1"/>
  <c r="K341" i="1"/>
  <c r="K330" i="1"/>
  <c r="K317" i="1"/>
  <c r="K312" i="1"/>
  <c r="K307" i="1"/>
  <c r="K303" i="1"/>
  <c r="K301" i="1"/>
  <c r="K292" i="1"/>
  <c r="K283" i="1"/>
  <c r="K1039" i="1" l="1"/>
  <c r="K1049" i="1" s="1"/>
  <c r="K1092" i="1" s="1"/>
  <c r="K856" i="1"/>
  <c r="K792" i="1"/>
  <c r="K728" i="1"/>
  <c r="K665" i="1"/>
  <c r="K590" i="1"/>
  <c r="K607" i="1" s="1"/>
  <c r="K570" i="1"/>
  <c r="K523" i="1"/>
  <c r="K475" i="1"/>
  <c r="K411" i="1"/>
  <c r="K392" i="1"/>
  <c r="K374" i="1"/>
  <c r="K318" i="1"/>
  <c r="K270" i="1"/>
  <c r="K264" i="1"/>
  <c r="K262" i="1"/>
  <c r="K259" i="1"/>
  <c r="K255" i="1"/>
  <c r="K247" i="1"/>
  <c r="K253" i="1" s="1"/>
  <c r="J246" i="1"/>
  <c r="K245" i="1"/>
  <c r="K236" i="1"/>
  <c r="K188" i="1"/>
  <c r="K227" i="1"/>
  <c r="K223" i="1"/>
  <c r="K221" i="1"/>
  <c r="K218" i="1"/>
  <c r="G218" i="1"/>
  <c r="K213" i="1"/>
  <c r="K209" i="1"/>
  <c r="K202" i="1"/>
  <c r="K187" i="1"/>
  <c r="K186" i="1"/>
  <c r="J173" i="1"/>
  <c r="K177" i="1"/>
  <c r="K169" i="1"/>
  <c r="K163" i="1"/>
  <c r="K157" i="1"/>
  <c r="K155" i="1"/>
  <c r="K147" i="1"/>
  <c r="K133" i="1"/>
  <c r="K132" i="1"/>
  <c r="K136" i="1"/>
  <c r="K124" i="1"/>
  <c r="K114" i="1"/>
  <c r="K111" i="1"/>
  <c r="K103" i="1"/>
  <c r="K107" i="1" s="1"/>
  <c r="K102" i="1"/>
  <c r="K98" i="1"/>
  <c r="K95" i="1"/>
  <c r="K85" i="1"/>
  <c r="K70" i="1"/>
  <c r="K69" i="1"/>
  <c r="K59" i="1"/>
  <c r="K857" i="1" l="1"/>
  <c r="K858" i="1" s="1"/>
  <c r="K271" i="1"/>
  <c r="K192" i="1"/>
  <c r="K228" i="1" s="1"/>
  <c r="K138" i="1"/>
  <c r="K178" i="1" s="1"/>
  <c r="K75" i="1"/>
  <c r="K125" i="1" s="1"/>
  <c r="K54" i="1"/>
  <c r="K40" i="1"/>
  <c r="K34" i="1"/>
  <c r="K32" i="1"/>
  <c r="K28" i="1"/>
  <c r="K18" i="1"/>
  <c r="K11" i="1"/>
  <c r="E20" i="3" l="1"/>
  <c r="E11" i="3"/>
  <c r="E10" i="3"/>
  <c r="E10" i="9"/>
  <c r="J233" i="1" s="1"/>
  <c r="I11" i="21"/>
  <c r="I9" i="21"/>
  <c r="I11" i="17"/>
  <c r="I8" i="29" l="1"/>
  <c r="H12" i="28"/>
  <c r="J284" i="1" l="1"/>
  <c r="J285" i="1"/>
  <c r="H227" i="1"/>
  <c r="I227" i="1"/>
  <c r="G227" i="1"/>
  <c r="E42" i="3"/>
  <c r="E24" i="3"/>
  <c r="K13" i="2"/>
  <c r="I13" i="2"/>
  <c r="G9" i="4" l="1"/>
  <c r="I9" i="4" s="1"/>
  <c r="G29" i="4" l="1"/>
  <c r="G27" i="4"/>
  <c r="G25" i="4"/>
  <c r="G23" i="4"/>
  <c r="J40" i="1" l="1"/>
  <c r="H40" i="1"/>
  <c r="G40" i="1"/>
  <c r="G37" i="4"/>
  <c r="J1043" i="1" l="1"/>
  <c r="H664" i="1"/>
  <c r="G664" i="1"/>
  <c r="G727" i="1"/>
  <c r="H727" i="1"/>
  <c r="I727" i="1"/>
  <c r="H7" i="28"/>
  <c r="I8" i="12"/>
  <c r="E9" i="4"/>
  <c r="I11" i="2"/>
  <c r="I9" i="2"/>
  <c r="J584" i="1"/>
  <c r="J579" i="1"/>
  <c r="J586" i="1"/>
  <c r="J582" i="1"/>
  <c r="J585" i="1"/>
  <c r="J580" i="1"/>
  <c r="J1035" i="1" l="1"/>
  <c r="I1035" i="1"/>
  <c r="J1060" i="1" l="1"/>
  <c r="E43" i="20" l="1"/>
  <c r="J1034" i="1"/>
  <c r="J997" i="1"/>
  <c r="J996" i="1"/>
  <c r="E46" i="20"/>
  <c r="I990" i="1"/>
  <c r="G943" i="1"/>
  <c r="H943" i="1"/>
  <c r="J865" i="1" l="1"/>
  <c r="J531" i="1"/>
  <c r="J534" i="1"/>
  <c r="E34" i="32"/>
  <c r="E24" i="32"/>
  <c r="G31" i="4"/>
  <c r="G21" i="4"/>
  <c r="G19" i="4"/>
  <c r="G17" i="4"/>
  <c r="G15" i="4"/>
  <c r="G13" i="4"/>
  <c r="G11" i="4"/>
  <c r="E91" i="26"/>
  <c r="E92" i="26"/>
  <c r="E33" i="26"/>
  <c r="E56" i="26" l="1"/>
  <c r="E51" i="9" l="1"/>
  <c r="J112" i="1"/>
  <c r="I74" i="1"/>
  <c r="E122" i="3"/>
  <c r="E27" i="3"/>
  <c r="E23" i="3"/>
  <c r="E19" i="3"/>
  <c r="E21" i="3" s="1"/>
  <c r="J67" i="1" s="1"/>
  <c r="E29" i="11" l="1"/>
  <c r="E11" i="11"/>
  <c r="I11" i="31"/>
  <c r="K11" i="31" s="1"/>
  <c r="I9" i="31"/>
  <c r="K9" i="31" s="1"/>
  <c r="G9" i="31"/>
  <c r="I15" i="31"/>
  <c r="K15" i="31" s="1"/>
  <c r="K13" i="31"/>
  <c r="G13" i="31"/>
  <c r="J1075" i="1"/>
  <c r="I150" i="1"/>
  <c r="I22" i="17"/>
  <c r="I662" i="1"/>
  <c r="I664" i="1" s="1"/>
  <c r="J43" i="1"/>
  <c r="H30" i="28"/>
  <c r="H36" i="28"/>
  <c r="J36" i="28" s="1"/>
  <c r="H28" i="28"/>
  <c r="J28" i="28" s="1"/>
  <c r="H26" i="28"/>
  <c r="J26" i="28" s="1"/>
  <c r="H24" i="28"/>
  <c r="J24" i="28" s="1"/>
  <c r="H20" i="28"/>
  <c r="J20" i="28" s="1"/>
  <c r="H22" i="28"/>
  <c r="J22" i="28" s="1"/>
  <c r="H16" i="28"/>
  <c r="J16" i="28" s="1"/>
  <c r="H18" i="28"/>
  <c r="J18" i="28" s="1"/>
  <c r="F14" i="28"/>
  <c r="H14" i="28"/>
  <c r="J14" i="28" s="1"/>
  <c r="F36" i="28"/>
  <c r="F34" i="28"/>
  <c r="F30" i="28"/>
  <c r="F28" i="28"/>
  <c r="F26" i="28"/>
  <c r="F18" i="28"/>
  <c r="F24" i="28"/>
  <c r="F22" i="28"/>
  <c r="F20" i="28"/>
  <c r="F16" i="28"/>
  <c r="F12" i="28"/>
  <c r="F7" i="28"/>
  <c r="G10" i="30"/>
  <c r="G8" i="30"/>
  <c r="I12" i="29"/>
  <c r="I10" i="29"/>
  <c r="G12" i="29"/>
  <c r="G10" i="29"/>
  <c r="G8" i="29"/>
  <c r="I9" i="17"/>
  <c r="I16" i="12"/>
  <c r="I10" i="12"/>
  <c r="K8" i="12"/>
  <c r="J7" i="28"/>
  <c r="K19" i="31" l="1"/>
  <c r="E44" i="22"/>
  <c r="I949" i="1"/>
  <c r="E22" i="32" l="1"/>
  <c r="J530" i="1" s="1"/>
  <c r="E20" i="32"/>
  <c r="J526" i="1"/>
  <c r="I951" i="1"/>
  <c r="J951" i="1"/>
  <c r="H949" i="1"/>
  <c r="G949" i="1"/>
  <c r="J529" i="1" l="1"/>
  <c r="J532" i="1"/>
  <c r="K932" i="1"/>
  <c r="I943" i="1" s="1"/>
  <c r="I945" i="1" s="1"/>
  <c r="K933" i="1"/>
  <c r="J943" i="1" s="1"/>
  <c r="J945" i="1" s="1"/>
  <c r="I29" i="1" l="1"/>
  <c r="I19" i="1"/>
  <c r="I4" i="1"/>
  <c r="J19" i="1" l="1"/>
  <c r="K19" i="1"/>
  <c r="K21" i="1" s="1"/>
  <c r="K61" i="1" s="1"/>
  <c r="K574" i="1" s="1"/>
  <c r="E57" i="24"/>
  <c r="E59" i="24"/>
  <c r="H753" i="1"/>
  <c r="G753" i="1"/>
  <c r="G9" i="6"/>
  <c r="E570" i="1" l="1"/>
  <c r="D570" i="1"/>
  <c r="C570" i="1"/>
  <c r="I569" i="1"/>
  <c r="H569" i="1"/>
  <c r="G569" i="1"/>
  <c r="F569" i="1"/>
  <c r="I564" i="1"/>
  <c r="H564" i="1"/>
  <c r="G564" i="1"/>
  <c r="J564" i="1"/>
  <c r="I562" i="1"/>
  <c r="H562" i="1"/>
  <c r="G562" i="1"/>
  <c r="F562" i="1"/>
  <c r="J559" i="1"/>
  <c r="I559" i="1"/>
  <c r="H559" i="1"/>
  <c r="G559" i="1"/>
  <c r="F559" i="1"/>
  <c r="I555" i="1"/>
  <c r="H555" i="1"/>
  <c r="G555" i="1"/>
  <c r="F555" i="1"/>
  <c r="J555" i="1"/>
  <c r="H553" i="1"/>
  <c r="G553" i="1"/>
  <c r="F553" i="1"/>
  <c r="I553" i="1"/>
  <c r="J553" i="1"/>
  <c r="I544" i="1"/>
  <c r="H544" i="1"/>
  <c r="G544" i="1"/>
  <c r="F544" i="1"/>
  <c r="J544" i="1"/>
  <c r="H535" i="1"/>
  <c r="F535" i="1"/>
  <c r="J527" i="1"/>
  <c r="I530" i="1"/>
  <c r="G535" i="1"/>
  <c r="F570" i="1" l="1"/>
  <c r="H570" i="1"/>
  <c r="J562" i="1"/>
  <c r="G570" i="1"/>
  <c r="J569" i="1"/>
  <c r="I529" i="1"/>
  <c r="I535" i="1" s="1"/>
  <c r="I570" i="1" s="1"/>
  <c r="J286" i="1"/>
  <c r="J158" i="1"/>
  <c r="J154" i="1"/>
  <c r="J152" i="1"/>
  <c r="J145" i="1"/>
  <c r="J144" i="1"/>
  <c r="J143" i="1"/>
  <c r="G39" i="5" l="1"/>
  <c r="G40" i="5"/>
  <c r="G41" i="5"/>
  <c r="G42" i="5"/>
  <c r="G45" i="5"/>
  <c r="G46" i="5"/>
  <c r="G47" i="5"/>
  <c r="G50" i="5"/>
  <c r="G53" i="5"/>
  <c r="G54" i="5"/>
  <c r="G55" i="5"/>
  <c r="G56" i="5"/>
  <c r="G60" i="5"/>
  <c r="G61" i="5"/>
  <c r="G63" i="5"/>
  <c r="G64" i="5"/>
  <c r="G65" i="5"/>
  <c r="G68" i="5"/>
  <c r="G70" i="5"/>
  <c r="G71" i="5"/>
  <c r="G72" i="5"/>
  <c r="G75" i="5"/>
  <c r="G76" i="5"/>
  <c r="G77" i="5"/>
  <c r="G80" i="5"/>
  <c r="G82" i="5"/>
  <c r="G84" i="5"/>
  <c r="G85" i="5"/>
  <c r="G86" i="5"/>
  <c r="G88" i="5"/>
  <c r="G89" i="5"/>
  <c r="G90" i="5"/>
  <c r="G91" i="5"/>
  <c r="G34" i="5"/>
  <c r="E49" i="5"/>
  <c r="G49" i="5" s="1"/>
  <c r="G34" i="4"/>
  <c r="G39" i="4" s="1"/>
  <c r="G42" i="4" s="1"/>
  <c r="I37" i="4"/>
  <c r="E31" i="4"/>
  <c r="E29" i="4"/>
  <c r="E27" i="4"/>
  <c r="E25" i="4"/>
  <c r="E23" i="4"/>
  <c r="E21" i="4"/>
  <c r="E19" i="4"/>
  <c r="E17" i="4"/>
  <c r="E15" i="4"/>
  <c r="E13" i="4"/>
  <c r="E11" i="4"/>
  <c r="E26" i="14"/>
  <c r="E34" i="4" l="1"/>
  <c r="E39" i="4" s="1"/>
  <c r="E42" i="4" s="1"/>
  <c r="G95" i="5"/>
  <c r="E118" i="3"/>
  <c r="I1008" i="1"/>
  <c r="I1038" i="1"/>
  <c r="I962" i="1"/>
  <c r="I969" i="1" s="1"/>
  <c r="I918" i="1"/>
  <c r="I886" i="1"/>
  <c r="I854" i="1"/>
  <c r="I850" i="1"/>
  <c r="I849" i="1"/>
  <c r="I802" i="1"/>
  <c r="I798" i="1"/>
  <c r="I796" i="1"/>
  <c r="I799" i="1" s="1"/>
  <c r="I762" i="1"/>
  <c r="I761" i="1"/>
  <c r="I750" i="1"/>
  <c r="I753" i="1" s="1"/>
  <c r="I734" i="1"/>
  <c r="I738" i="1" s="1"/>
  <c r="I721" i="1"/>
  <c r="I697" i="1"/>
  <c r="I670" i="1"/>
  <c r="I669" i="1"/>
  <c r="I672" i="1" s="1"/>
  <c r="I611" i="1"/>
  <c r="I610" i="1"/>
  <c r="I614" i="1" s="1"/>
  <c r="I586" i="1"/>
  <c r="I585" i="1"/>
  <c r="I584" i="1"/>
  <c r="I579" i="1"/>
  <c r="I582" i="1"/>
  <c r="I580" i="1"/>
  <c r="I505" i="1"/>
  <c r="I504" i="1"/>
  <c r="I482" i="1"/>
  <c r="I480" i="1"/>
  <c r="I484" i="1" s="1"/>
  <c r="I444" i="1"/>
  <c r="I430" i="1"/>
  <c r="I434" i="1" s="1"/>
  <c r="I345" i="1"/>
  <c r="I321" i="1"/>
  <c r="I324" i="1" s="1"/>
  <c r="I300" i="1"/>
  <c r="I274" i="1"/>
  <c r="I278" i="1" s="1"/>
  <c r="I266" i="1"/>
  <c r="I185" i="1"/>
  <c r="I182" i="1"/>
  <c r="I187" i="1" s="1"/>
  <c r="I154" i="1"/>
  <c r="I148" i="1"/>
  <c r="I131" i="1"/>
  <c r="I129" i="1"/>
  <c r="I116" i="1"/>
  <c r="I94" i="1"/>
  <c r="I92" i="1"/>
  <c r="I88" i="1"/>
  <c r="I86" i="1"/>
  <c r="I69" i="1"/>
  <c r="I68" i="1"/>
  <c r="I65" i="1"/>
  <c r="I70" i="1" s="1"/>
  <c r="I52" i="1"/>
  <c r="I49" i="1"/>
  <c r="I47" i="1"/>
  <c r="I45" i="1"/>
  <c r="I44" i="1"/>
  <c r="I43" i="1"/>
  <c r="I38" i="1"/>
  <c r="I40" i="1" s="1"/>
  <c r="I33" i="1"/>
  <c r="I24" i="1"/>
  <c r="I20" i="1"/>
  <c r="I17" i="1"/>
  <c r="I12" i="1"/>
  <c r="I14" i="1"/>
  <c r="I15" i="1"/>
  <c r="I13" i="1"/>
  <c r="I8" i="1"/>
  <c r="I7" i="1"/>
  <c r="I6" i="1"/>
  <c r="I5" i="1"/>
  <c r="H1082" i="1"/>
  <c r="I1082" i="1"/>
  <c r="J1082" i="1"/>
  <c r="G1057" i="1"/>
  <c r="G1082" i="1" s="1"/>
  <c r="I132" i="1" l="1"/>
  <c r="I673" i="1"/>
  <c r="I133" i="1"/>
  <c r="I800" i="1"/>
  <c r="I186" i="1"/>
  <c r="I277" i="1"/>
  <c r="I435" i="1"/>
  <c r="I325" i="1"/>
  <c r="I483" i="1"/>
  <c r="I613" i="1"/>
  <c r="I737" i="1"/>
  <c r="J1011" i="1"/>
  <c r="I1011" i="1"/>
  <c r="H1011" i="1"/>
  <c r="G1011" i="1"/>
  <c r="F1011" i="1"/>
  <c r="K948" i="1"/>
  <c r="K944" i="1"/>
  <c r="K942" i="1"/>
  <c r="H913" i="1"/>
  <c r="I913" i="1"/>
  <c r="J913" i="1"/>
  <c r="G913" i="1"/>
  <c r="J883" i="1"/>
  <c r="I883" i="1"/>
  <c r="I882" i="1"/>
  <c r="H883" i="1"/>
  <c r="G883" i="1"/>
  <c r="J897" i="1"/>
  <c r="I897" i="1"/>
  <c r="G897" i="1"/>
  <c r="F897" i="1"/>
  <c r="C897" i="1"/>
  <c r="H896" i="1"/>
  <c r="H897" i="1" s="1"/>
  <c r="J889" i="1"/>
  <c r="I889" i="1"/>
  <c r="H889" i="1"/>
  <c r="G889" i="1"/>
  <c r="F889" i="1"/>
  <c r="H815" i="1"/>
  <c r="I788" i="1"/>
  <c r="H788" i="1"/>
  <c r="G788" i="1"/>
  <c r="H770" i="1"/>
  <c r="H762" i="1"/>
  <c r="H656" i="1"/>
  <c r="I656" i="1"/>
  <c r="J656" i="1"/>
  <c r="G656" i="1"/>
  <c r="H654" i="1"/>
  <c r="I654" i="1"/>
  <c r="G654" i="1"/>
  <c r="G610" i="1"/>
  <c r="H603" i="1"/>
  <c r="I138" i="1" l="1"/>
  <c r="H465" i="1"/>
  <c r="I465" i="1"/>
  <c r="J465" i="1"/>
  <c r="G465" i="1"/>
  <c r="E43" i="5" l="1"/>
  <c r="E33" i="7"/>
  <c r="H307" i="1"/>
  <c r="I307" i="1"/>
  <c r="J307" i="1"/>
  <c r="G307" i="1"/>
  <c r="G274" i="1"/>
  <c r="H50" i="1"/>
  <c r="H1088" i="1" l="1"/>
  <c r="I1088" i="1"/>
  <c r="J1088" i="1"/>
  <c r="G1088" i="1"/>
  <c r="G1090" i="1" s="1"/>
  <c r="J704" i="1" l="1"/>
  <c r="H34" i="28" l="1"/>
  <c r="J34" i="28" s="1"/>
  <c r="J30" i="28"/>
  <c r="I10" i="30"/>
  <c r="I8" i="30"/>
  <c r="E28" i="20"/>
  <c r="I9" i="19"/>
  <c r="K22" i="17"/>
  <c r="J431" i="1" s="1"/>
  <c r="I14" i="12" l="1"/>
  <c r="I12" i="12"/>
  <c r="I9" i="10"/>
  <c r="I9" i="6"/>
  <c r="G9" i="2"/>
  <c r="E69" i="3"/>
  <c r="E16" i="3"/>
  <c r="G11" i="2"/>
  <c r="J1022" i="1"/>
  <c r="I1021" i="1"/>
  <c r="I1022" i="1"/>
  <c r="H1022" i="1"/>
  <c r="G1022" i="1"/>
  <c r="J982" i="1"/>
  <c r="I982" i="1"/>
  <c r="H982" i="1"/>
  <c r="G982" i="1"/>
  <c r="J956" i="1"/>
  <c r="I955" i="1"/>
  <c r="I956" i="1"/>
  <c r="H956" i="1"/>
  <c r="G956" i="1"/>
  <c r="J916" i="1"/>
  <c r="I915" i="1"/>
  <c r="I916" i="1"/>
  <c r="H916" i="1"/>
  <c r="G916" i="1"/>
  <c r="J906" i="1"/>
  <c r="I905" i="1"/>
  <c r="I906" i="1"/>
  <c r="H906" i="1"/>
  <c r="G906" i="1"/>
  <c r="J860" i="1"/>
  <c r="I860" i="1"/>
  <c r="I859" i="1"/>
  <c r="H860" i="1"/>
  <c r="G860" i="1"/>
  <c r="J795" i="1"/>
  <c r="I794" i="1"/>
  <c r="I795" i="1"/>
  <c r="H795" i="1"/>
  <c r="G795" i="1"/>
  <c r="J733" i="1"/>
  <c r="I732" i="1"/>
  <c r="I733" i="1"/>
  <c r="H733" i="1"/>
  <c r="G733" i="1"/>
  <c r="J668" i="1"/>
  <c r="I667" i="1"/>
  <c r="I668" i="1"/>
  <c r="H668" i="1"/>
  <c r="G668" i="1"/>
  <c r="J609" i="1"/>
  <c r="I608" i="1"/>
  <c r="I609" i="1"/>
  <c r="H609" i="1"/>
  <c r="G609" i="1"/>
  <c r="J578" i="1"/>
  <c r="I577" i="1"/>
  <c r="I578" i="1"/>
  <c r="H578" i="1"/>
  <c r="G578" i="1"/>
  <c r="J479" i="1"/>
  <c r="I478" i="1"/>
  <c r="H479" i="1"/>
  <c r="G479" i="1"/>
  <c r="J429" i="1"/>
  <c r="I428" i="1"/>
  <c r="I429" i="1"/>
  <c r="H429" i="1"/>
  <c r="G429" i="1"/>
  <c r="J414" i="1"/>
  <c r="I413" i="1"/>
  <c r="I414" i="1"/>
  <c r="H414" i="1"/>
  <c r="G414" i="1"/>
  <c r="J377" i="1"/>
  <c r="I376" i="1"/>
  <c r="I377" i="1"/>
  <c r="H377" i="1"/>
  <c r="G377" i="1"/>
  <c r="J320" i="1"/>
  <c r="I319" i="1"/>
  <c r="I320" i="1"/>
  <c r="H320" i="1"/>
  <c r="G320" i="1"/>
  <c r="J231" i="1"/>
  <c r="I230" i="1"/>
  <c r="I231" i="1"/>
  <c r="H231" i="1"/>
  <c r="G231" i="1"/>
  <c r="I127" i="1"/>
  <c r="J128" i="1"/>
  <c r="I128" i="1"/>
  <c r="H128" i="1"/>
  <c r="G128" i="1"/>
  <c r="I63" i="1"/>
  <c r="H64" i="1"/>
  <c r="I64" i="1"/>
  <c r="J64" i="1"/>
  <c r="G64" i="1"/>
  <c r="I782" i="1" l="1"/>
  <c r="H782" i="1"/>
  <c r="I401" i="1"/>
  <c r="H401" i="1"/>
  <c r="H54" i="1"/>
  <c r="I54" i="1"/>
  <c r="J54" i="1"/>
  <c r="G54" i="1"/>
  <c r="G11" i="21" l="1"/>
  <c r="G9" i="21"/>
  <c r="G9" i="19"/>
  <c r="G9" i="10"/>
  <c r="K943" i="1"/>
  <c r="K949" i="1"/>
  <c r="G782" i="1"/>
  <c r="J654" i="1"/>
  <c r="G401" i="1"/>
  <c r="J139" i="1"/>
  <c r="J140" i="1"/>
  <c r="J142" i="1"/>
  <c r="J115" i="1"/>
  <c r="J147" i="1" l="1"/>
  <c r="E27" i="26"/>
  <c r="E26" i="26"/>
  <c r="E17" i="26"/>
  <c r="J32" i="28"/>
  <c r="E24" i="24"/>
  <c r="E15" i="24"/>
  <c r="E24" i="25"/>
  <c r="E15" i="25"/>
  <c r="E25" i="22"/>
  <c r="E16" i="22"/>
  <c r="E24" i="20" l="1"/>
  <c r="E20" i="18"/>
  <c r="E11" i="18"/>
  <c r="E24" i="13"/>
  <c r="E15" i="13"/>
  <c r="E22" i="11"/>
  <c r="E24" i="7"/>
  <c r="E22" i="7"/>
  <c r="E20" i="7"/>
  <c r="E15" i="7"/>
  <c r="E20" i="5"/>
  <c r="E19" i="5"/>
  <c r="E10" i="5"/>
  <c r="E34" i="3"/>
  <c r="J266" i="1"/>
  <c r="J184" i="1"/>
  <c r="E11" i="7"/>
  <c r="J267" i="1" l="1"/>
  <c r="J1090" i="1" l="1"/>
  <c r="I1090" i="1"/>
  <c r="J73" i="1"/>
  <c r="H223" i="1" l="1"/>
  <c r="J718" i="1" l="1"/>
  <c r="J714" i="1"/>
  <c r="J713" i="1"/>
  <c r="E85" i="25"/>
  <c r="E47" i="25"/>
  <c r="I312" i="1" l="1"/>
  <c r="H312" i="1"/>
  <c r="G312" i="1"/>
  <c r="I292" i="1"/>
  <c r="H292" i="1"/>
  <c r="G292" i="1"/>
  <c r="J312" i="1"/>
  <c r="J781" i="1" l="1"/>
  <c r="J779" i="1"/>
  <c r="E91" i="24"/>
  <c r="J223" i="1"/>
  <c r="I223" i="1"/>
  <c r="G223" i="1"/>
  <c r="E53" i="7"/>
  <c r="J159" i="1"/>
  <c r="E87" i="5"/>
  <c r="J782" i="1" l="1"/>
  <c r="E81" i="26" l="1"/>
  <c r="J841" i="1" s="1"/>
  <c r="J819" i="1"/>
  <c r="J853" i="1"/>
  <c r="J854" i="1"/>
  <c r="J846" i="1"/>
  <c r="J843" i="1"/>
  <c r="J837" i="1"/>
  <c r="J835" i="1"/>
  <c r="J834" i="1"/>
  <c r="J833" i="1"/>
  <c r="J829" i="1"/>
  <c r="J827" i="1"/>
  <c r="J821" i="1"/>
  <c r="E99" i="26" l="1"/>
  <c r="J851" i="1" s="1"/>
  <c r="E94" i="26"/>
  <c r="J850" i="1" s="1"/>
  <c r="E60" i="26" l="1"/>
  <c r="J825" i="1" s="1"/>
  <c r="E50" i="26"/>
  <c r="J817" i="1" s="1"/>
  <c r="E46" i="26"/>
  <c r="J816" i="1" s="1"/>
  <c r="E19" i="26"/>
  <c r="E16" i="26"/>
  <c r="E18" i="26"/>
  <c r="E15" i="26"/>
  <c r="J765" i="1" l="1"/>
  <c r="J784" i="1"/>
  <c r="E42" i="22" l="1"/>
  <c r="E38" i="22"/>
  <c r="J521" i="1" l="1"/>
  <c r="J505" i="1"/>
  <c r="E56" i="20"/>
  <c r="J514" i="1" s="1"/>
  <c r="E52" i="20"/>
  <c r="J459" i="1" l="1"/>
  <c r="J409" i="1" l="1"/>
  <c r="J400" i="1"/>
  <c r="J401" i="1" s="1"/>
  <c r="J390" i="1"/>
  <c r="J368" i="1"/>
  <c r="E59" i="13"/>
  <c r="J365" i="1" s="1"/>
  <c r="J268" i="1"/>
  <c r="J261" i="1"/>
  <c r="J260" i="1"/>
  <c r="J257" i="1"/>
  <c r="J244" i="1"/>
  <c r="E39" i="9"/>
  <c r="E21" i="9"/>
  <c r="E35" i="9"/>
  <c r="J226" i="1" l="1"/>
  <c r="J227" i="1" s="1"/>
  <c r="J102" i="1" l="1"/>
  <c r="I102" i="1"/>
  <c r="H102" i="1"/>
  <c r="G102" i="1"/>
  <c r="J804" i="1" l="1"/>
  <c r="J12" i="28"/>
  <c r="J40" i="28" s="1"/>
  <c r="J796" i="1" s="1"/>
  <c r="J802" i="1" s="1"/>
  <c r="E9" i="26"/>
  <c r="K10" i="30"/>
  <c r="K8" i="30"/>
  <c r="K12" i="29"/>
  <c r="K10" i="29"/>
  <c r="K8" i="29"/>
  <c r="K11" i="21"/>
  <c r="K9" i="21"/>
  <c r="K9" i="19"/>
  <c r="K11" i="17"/>
  <c r="K9" i="17"/>
  <c r="E53" i="13"/>
  <c r="E9" i="13"/>
  <c r="K18" i="12"/>
  <c r="K16" i="12"/>
  <c r="K14" i="12"/>
  <c r="K12" i="12"/>
  <c r="K10" i="12"/>
  <c r="K9" i="10"/>
  <c r="K9" i="6"/>
  <c r="E25" i="5"/>
  <c r="I27" i="4" l="1"/>
  <c r="I21" i="4"/>
  <c r="I23" i="4"/>
  <c r="I31" i="4"/>
  <c r="I19" i="4"/>
  <c r="I17" i="4"/>
  <c r="I15" i="4"/>
  <c r="I13" i="4"/>
  <c r="I11" i="4"/>
  <c r="I29" i="4"/>
  <c r="I25" i="4"/>
  <c r="K15" i="2"/>
  <c r="K11" i="2"/>
  <c r="K9" i="2"/>
  <c r="I34" i="4" l="1"/>
  <c r="I39" i="4" s="1"/>
  <c r="E75" i="24"/>
  <c r="E92" i="5"/>
  <c r="E83" i="3"/>
  <c r="J847" i="1"/>
  <c r="J256" i="1"/>
  <c r="I855" i="1" l="1"/>
  <c r="H855" i="1"/>
  <c r="H18" i="1"/>
  <c r="I18" i="1"/>
  <c r="J18" i="1"/>
  <c r="G18" i="1"/>
  <c r="H451" i="1"/>
  <c r="I451" i="1"/>
  <c r="G451" i="1"/>
  <c r="H420" i="1"/>
  <c r="I420" i="1"/>
  <c r="G420" i="1"/>
  <c r="I406" i="1"/>
  <c r="H406" i="1"/>
  <c r="G406" i="1"/>
  <c r="H389" i="1"/>
  <c r="J358" i="1"/>
  <c r="I358" i="1"/>
  <c r="H358" i="1"/>
  <c r="G358" i="1"/>
  <c r="J105" i="1" l="1"/>
  <c r="J103" i="1"/>
  <c r="A952" i="1"/>
  <c r="J921" i="1"/>
  <c r="G855" i="1"/>
  <c r="J262" i="1"/>
  <c r="E28" i="5" l="1"/>
  <c r="I124" i="1" l="1"/>
  <c r="H124" i="1"/>
  <c r="G124" i="1"/>
  <c r="J855" i="1"/>
  <c r="E44" i="20"/>
  <c r="J504" i="1" s="1"/>
  <c r="E58" i="5"/>
  <c r="J156" i="1" s="1"/>
  <c r="H974" i="1" l="1"/>
  <c r="J108" i="1" l="1"/>
  <c r="J92" i="1"/>
  <c r="E130" i="3"/>
  <c r="J121" i="1" s="1"/>
  <c r="E65" i="3"/>
  <c r="J88" i="1" s="1"/>
  <c r="E57" i="3"/>
  <c r="J264" i="1" l="1"/>
  <c r="E23" i="11" l="1"/>
  <c r="J279" i="1" s="1"/>
  <c r="E28" i="26" l="1"/>
  <c r="J801" i="1" s="1"/>
  <c r="E20" i="26"/>
  <c r="J798" i="1" s="1"/>
  <c r="E37" i="25" l="1"/>
  <c r="I163" i="1" l="1"/>
  <c r="H163" i="1"/>
  <c r="G163" i="1"/>
  <c r="E77" i="26" l="1"/>
  <c r="J839" i="1" s="1"/>
  <c r="J823" i="1"/>
  <c r="E39" i="26"/>
  <c r="J808" i="1" s="1"/>
  <c r="E13" i="26"/>
  <c r="J797" i="1" s="1"/>
  <c r="J723" i="1" l="1"/>
  <c r="J722" i="1"/>
  <c r="J717" i="1"/>
  <c r="J715" i="1"/>
  <c r="J721" i="1"/>
  <c r="E55" i="25"/>
  <c r="J697" i="1" s="1"/>
  <c r="E41" i="25"/>
  <c r="J719" i="1" l="1"/>
  <c r="J707" i="1"/>
  <c r="J703" i="1"/>
  <c r="J693" i="1"/>
  <c r="J691" i="1"/>
  <c r="E32" i="25"/>
  <c r="J682" i="1" s="1"/>
  <c r="J674" i="1"/>
  <c r="E18" i="25"/>
  <c r="J671" i="1" s="1"/>
  <c r="J742" i="1"/>
  <c r="J739" i="1"/>
  <c r="E18" i="24"/>
  <c r="J736" i="1" s="1"/>
  <c r="E11" i="24"/>
  <c r="J735" i="1" s="1"/>
  <c r="J757" i="1" l="1"/>
  <c r="E34" i="22" l="1"/>
  <c r="E64" i="22" l="1"/>
  <c r="E12" i="22"/>
  <c r="E66" i="5" l="1"/>
  <c r="J160" i="1" l="1"/>
  <c r="J163" i="1" s="1"/>
  <c r="J783" i="1"/>
  <c r="J788" i="1" s="1"/>
  <c r="J777" i="1"/>
  <c r="J775" i="1"/>
  <c r="E69" i="24" l="1"/>
  <c r="J770" i="1" s="1"/>
  <c r="J761" i="1"/>
  <c r="E52" i="24"/>
  <c r="J755" i="1" s="1"/>
  <c r="E48" i="24"/>
  <c r="J754" i="1" s="1"/>
  <c r="E44" i="24"/>
  <c r="J750" i="1" s="1"/>
  <c r="J753" i="1" s="1"/>
  <c r="E32" i="24"/>
  <c r="J388" i="1" l="1"/>
  <c r="J386" i="1"/>
  <c r="J387" i="1" s="1"/>
  <c r="I387" i="1"/>
  <c r="H387" i="1"/>
  <c r="G387" i="1"/>
  <c r="I385" i="1"/>
  <c r="H385" i="1"/>
  <c r="G385" i="1"/>
  <c r="J385" i="1"/>
  <c r="J701" i="1" l="1"/>
  <c r="J696" i="1"/>
  <c r="E60" i="20" l="1"/>
  <c r="J516" i="1" s="1"/>
  <c r="E64" i="11" l="1"/>
  <c r="J314" i="1" s="1"/>
  <c r="E57" i="11"/>
  <c r="J519" i="1" l="1"/>
  <c r="J520" i="1" s="1"/>
  <c r="I520" i="1"/>
  <c r="H520" i="1"/>
  <c r="G520" i="1"/>
  <c r="I471" i="1"/>
  <c r="H471" i="1"/>
  <c r="G471" i="1"/>
  <c r="J469" i="1"/>
  <c r="I373" i="1"/>
  <c r="H373" i="1"/>
  <c r="G373" i="1"/>
  <c r="J371" i="1"/>
  <c r="J348" i="1"/>
  <c r="J322" i="1" l="1"/>
  <c r="J117" i="1"/>
  <c r="J423" i="1" l="1"/>
  <c r="J175" i="1" l="1"/>
  <c r="K14" i="30" l="1"/>
  <c r="K16" i="29"/>
  <c r="J669" i="1" s="1"/>
  <c r="J675" i="1" s="1"/>
  <c r="E22" i="24" l="1"/>
  <c r="J734" i="1"/>
  <c r="J740" i="1" s="1"/>
  <c r="E20" i="25"/>
  <c r="J672" i="1" s="1"/>
  <c r="E22" i="25"/>
  <c r="J673" i="1" s="1"/>
  <c r="J738" i="1"/>
  <c r="E20" i="24"/>
  <c r="J737" i="1" s="1"/>
  <c r="I270" i="1"/>
  <c r="H270" i="1"/>
  <c r="G270" i="1"/>
  <c r="I192" i="1"/>
  <c r="G177" i="1"/>
  <c r="H177" i="1"/>
  <c r="I177" i="1"/>
  <c r="E24" i="26" l="1"/>
  <c r="J800" i="1" s="1"/>
  <c r="E22" i="26"/>
  <c r="J799" i="1" s="1"/>
  <c r="J852" i="1"/>
  <c r="I852" i="1"/>
  <c r="I847" i="1"/>
  <c r="J840" i="1"/>
  <c r="I840" i="1"/>
  <c r="J836" i="1"/>
  <c r="I836" i="1"/>
  <c r="J831" i="1"/>
  <c r="I831" i="1"/>
  <c r="J826" i="1"/>
  <c r="I826" i="1"/>
  <c r="J815" i="1"/>
  <c r="I815" i="1"/>
  <c r="I805" i="1"/>
  <c r="J778" i="1"/>
  <c r="I778" i="1"/>
  <c r="I774" i="1"/>
  <c r="I768" i="1"/>
  <c r="I743" i="1"/>
  <c r="J724" i="1"/>
  <c r="I724" i="1"/>
  <c r="I719" i="1"/>
  <c r="J716" i="1"/>
  <c r="I716" i="1"/>
  <c r="J712" i="1"/>
  <c r="I712" i="1"/>
  <c r="H712" i="1"/>
  <c r="I702" i="1"/>
  <c r="H702" i="1"/>
  <c r="J689" i="1"/>
  <c r="I689" i="1"/>
  <c r="I678" i="1"/>
  <c r="G678" i="1"/>
  <c r="J644" i="1"/>
  <c r="G644" i="1"/>
  <c r="J650" i="1"/>
  <c r="I650" i="1"/>
  <c r="I644" i="1"/>
  <c r="I628" i="1"/>
  <c r="I856" i="1" l="1"/>
  <c r="I597" i="1"/>
  <c r="I507" i="1" l="1"/>
  <c r="H507" i="1"/>
  <c r="G507" i="1"/>
  <c r="J474" i="1"/>
  <c r="I474" i="1"/>
  <c r="H474" i="1"/>
  <c r="G474" i="1"/>
  <c r="J468" i="1"/>
  <c r="H468" i="1"/>
  <c r="G468" i="1"/>
  <c r="I468" i="1"/>
  <c r="I347" i="1"/>
  <c r="H347" i="1"/>
  <c r="G347" i="1"/>
  <c r="I283" i="1" l="1"/>
  <c r="I264" i="1"/>
  <c r="H264" i="1"/>
  <c r="G264" i="1"/>
  <c r="I85" i="1" l="1"/>
  <c r="H85" i="1"/>
  <c r="G85" i="1"/>
  <c r="H852" i="1" l="1"/>
  <c r="H847" i="1"/>
  <c r="H840" i="1"/>
  <c r="H836" i="1"/>
  <c r="H826" i="1"/>
  <c r="H831" i="1"/>
  <c r="H805" i="1"/>
  <c r="H778" i="1"/>
  <c r="G774" i="1"/>
  <c r="H774" i="1"/>
  <c r="G768" i="1"/>
  <c r="H768" i="1"/>
  <c r="G743" i="1"/>
  <c r="H743" i="1"/>
  <c r="H724" i="1"/>
  <c r="H719" i="1"/>
  <c r="H716" i="1"/>
  <c r="G712" i="1"/>
  <c r="H705" i="1"/>
  <c r="G702" i="1"/>
  <c r="H689" i="1"/>
  <c r="H678" i="1"/>
  <c r="G650" i="1"/>
  <c r="H650" i="1"/>
  <c r="H644" i="1"/>
  <c r="H640" i="1"/>
  <c r="H856" i="1" l="1"/>
  <c r="H628" i="1"/>
  <c r="H597" i="1"/>
  <c r="J805" i="1" l="1"/>
  <c r="J856" i="1" s="1"/>
  <c r="G852" i="1" l="1"/>
  <c r="G847" i="1"/>
  <c r="G840" i="1"/>
  <c r="G836" i="1"/>
  <c r="G831" i="1"/>
  <c r="G826" i="1"/>
  <c r="G815" i="1"/>
  <c r="G805" i="1"/>
  <c r="G856" i="1" l="1"/>
  <c r="G778" i="1"/>
  <c r="G724" i="1"/>
  <c r="G719" i="1"/>
  <c r="G716" i="1"/>
  <c r="G689" i="1"/>
  <c r="G628" i="1"/>
  <c r="J597" i="1"/>
  <c r="G597" i="1"/>
  <c r="J1039" i="1" l="1"/>
  <c r="J1049" i="1" s="1"/>
  <c r="J1092" i="1" s="1"/>
  <c r="J1005" i="1" l="1"/>
  <c r="J999" i="1"/>
  <c r="J991" i="1"/>
  <c r="J974" i="1"/>
  <c r="J965" i="1"/>
  <c r="J877" i="1"/>
  <c r="J869" i="1"/>
  <c r="J790" i="1"/>
  <c r="J774" i="1"/>
  <c r="J764" i="1"/>
  <c r="J743" i="1"/>
  <c r="J726" i="1"/>
  <c r="J705" i="1"/>
  <c r="J662" i="1"/>
  <c r="J661" i="1"/>
  <c r="J648" i="1"/>
  <c r="J640" i="1"/>
  <c r="I640" i="1"/>
  <c r="J618" i="1"/>
  <c r="J615" i="1"/>
  <c r="I619" i="1"/>
  <c r="J606" i="1"/>
  <c r="J602" i="1"/>
  <c r="J593" i="1"/>
  <c r="J590" i="1"/>
  <c r="J583" i="1"/>
  <c r="J1013" i="1" l="1"/>
  <c r="J1015" i="1"/>
  <c r="J702" i="1"/>
  <c r="J727" i="1"/>
  <c r="J791" i="1"/>
  <c r="J607" i="1"/>
  <c r="J522" i="1"/>
  <c r="J513" i="1"/>
  <c r="J501" i="1"/>
  <c r="J499" i="1"/>
  <c r="J498" i="1"/>
  <c r="J492" i="1"/>
  <c r="J496" i="1" s="1"/>
  <c r="I489" i="1"/>
  <c r="J488" i="1"/>
  <c r="J485" i="1"/>
  <c r="J461" i="1"/>
  <c r="J457" i="1"/>
  <c r="J450" i="1"/>
  <c r="J448" i="1"/>
  <c r="I440" i="1"/>
  <c r="J439" i="1"/>
  <c r="J436" i="1"/>
  <c r="J424" i="1"/>
  <c r="J421" i="1"/>
  <c r="J422" i="1" s="1"/>
  <c r="J418" i="1"/>
  <c r="J420" i="1" s="1"/>
  <c r="J415" i="1"/>
  <c r="J417" i="1" s="1"/>
  <c r="J408" i="1"/>
  <c r="J410" i="1" s="1"/>
  <c r="J402" i="1"/>
  <c r="J406" i="1" s="1"/>
  <c r="J398" i="1"/>
  <c r="J391" i="1"/>
  <c r="J389" i="1"/>
  <c r="I382" i="1"/>
  <c r="J379" i="1"/>
  <c r="J378" i="1"/>
  <c r="J370" i="1"/>
  <c r="J366" i="1"/>
  <c r="J362" i="1"/>
  <c r="J351" i="1"/>
  <c r="I330" i="1"/>
  <c r="J329" i="1"/>
  <c r="J328" i="1"/>
  <c r="J326" i="1"/>
  <c r="J309" i="1"/>
  <c r="J302" i="1"/>
  <c r="J303" i="1" s="1"/>
  <c r="J296" i="1"/>
  <c r="J282" i="1"/>
  <c r="J281" i="1"/>
  <c r="J275" i="1"/>
  <c r="J269" i="1"/>
  <c r="J258" i="1"/>
  <c r="J259" i="1" s="1"/>
  <c r="J252" i="1"/>
  <c r="J248" i="1"/>
  <c r="J239" i="1"/>
  <c r="J235" i="1"/>
  <c r="J234" i="1"/>
  <c r="J221" i="1"/>
  <c r="J218" i="1"/>
  <c r="J209" i="1"/>
  <c r="J213" i="1"/>
  <c r="J191" i="1"/>
  <c r="J188" i="1"/>
  <c r="J168" i="1"/>
  <c r="J157" i="1"/>
  <c r="J149" i="1"/>
  <c r="J137" i="1"/>
  <c r="J136" i="1"/>
  <c r="J120" i="1"/>
  <c r="G114" i="1"/>
  <c r="J111" i="1"/>
  <c r="I75" i="1"/>
  <c r="J74" i="1"/>
  <c r="J59" i="1"/>
  <c r="J34" i="1"/>
  <c r="J32" i="1"/>
  <c r="J28" i="1"/>
  <c r="J21" i="1"/>
  <c r="J11" i="1"/>
  <c r="J425" i="1" l="1"/>
  <c r="J61" i="1"/>
  <c r="J373" i="1"/>
  <c r="J270" i="1"/>
  <c r="J411" i="1"/>
  <c r="J236" i="1"/>
  <c r="J382" i="1"/>
  <c r="J392" i="1" s="1"/>
  <c r="J245" i="1"/>
  <c r="K425" i="1"/>
  <c r="J518" i="1"/>
  <c r="F1082" i="1" l="1"/>
  <c r="I974" i="1" l="1"/>
  <c r="F1090" i="1" l="1"/>
  <c r="H619" i="1" l="1"/>
  <c r="G619" i="1"/>
  <c r="F619" i="1"/>
  <c r="H489" i="1"/>
  <c r="G489" i="1"/>
  <c r="F489" i="1"/>
  <c r="H440" i="1"/>
  <c r="G440" i="1"/>
  <c r="F440" i="1"/>
  <c r="H330" i="1"/>
  <c r="G330" i="1"/>
  <c r="F330" i="1"/>
  <c r="H283" i="1"/>
  <c r="G283" i="1"/>
  <c r="F283" i="1"/>
  <c r="H192" i="1"/>
  <c r="G192" i="1"/>
  <c r="F192" i="1"/>
  <c r="H138" i="1"/>
  <c r="G138" i="1"/>
  <c r="F138" i="1"/>
  <c r="H75" i="1"/>
  <c r="G75" i="1"/>
  <c r="F75" i="1"/>
  <c r="E113" i="3" l="1"/>
  <c r="J113" i="1" s="1"/>
  <c r="J114" i="1" s="1"/>
  <c r="I522" i="1" l="1"/>
  <c r="J768" i="1" l="1"/>
  <c r="J792" i="1" s="1"/>
  <c r="J308" i="1" l="1"/>
  <c r="J310" i="1" s="1"/>
  <c r="G974" i="1" l="1"/>
  <c r="F974" i="1"/>
  <c r="K945" i="1" l="1"/>
  <c r="H934" i="1"/>
  <c r="G934" i="1"/>
  <c r="F934" i="1"/>
  <c r="K951" i="1" l="1"/>
  <c r="I218" i="1"/>
  <c r="E11" i="25" l="1"/>
  <c r="J670" i="1" s="1"/>
  <c r="E75" i="22"/>
  <c r="J638" i="1"/>
  <c r="J628" i="1"/>
  <c r="J611" i="1"/>
  <c r="J508" i="1"/>
  <c r="J509" i="1" s="1"/>
  <c r="E34" i="20"/>
  <c r="J497" i="1" s="1"/>
  <c r="J507" i="1" s="1"/>
  <c r="E11" i="20"/>
  <c r="J481" i="1" s="1"/>
  <c r="E40" i="18"/>
  <c r="J470" i="1" s="1"/>
  <c r="J471" i="1" s="1"/>
  <c r="E28" i="18"/>
  <c r="J451" i="1" s="1"/>
  <c r="E55" i="13"/>
  <c r="J352" i="1" s="1"/>
  <c r="J353" i="1" s="1"/>
  <c r="E46" i="13"/>
  <c r="J345" i="1" s="1"/>
  <c r="E42" i="13"/>
  <c r="J343" i="1" s="1"/>
  <c r="E35" i="13"/>
  <c r="J341" i="1" s="1"/>
  <c r="J317" i="1"/>
  <c r="E47" i="11"/>
  <c r="J301" i="1" s="1"/>
  <c r="E36" i="11"/>
  <c r="J254" i="1"/>
  <c r="J255" i="1" s="1"/>
  <c r="E25" i="9"/>
  <c r="J247" i="1" s="1"/>
  <c r="J253" i="1" s="1"/>
  <c r="J196" i="1"/>
  <c r="J202" i="1" s="1"/>
  <c r="E73" i="5"/>
  <c r="J164" i="1" s="1"/>
  <c r="E120" i="3"/>
  <c r="J116" i="1" s="1"/>
  <c r="J124" i="1" s="1"/>
  <c r="E99" i="3"/>
  <c r="E88" i="3"/>
  <c r="J96" i="1" s="1"/>
  <c r="J98" i="1" s="1"/>
  <c r="J94" i="1"/>
  <c r="E61" i="3"/>
  <c r="J87" i="1" s="1"/>
  <c r="J86" i="1"/>
  <c r="J85" i="1"/>
  <c r="E36" i="3"/>
  <c r="J71" i="1" s="1"/>
  <c r="E17" i="3"/>
  <c r="J66" i="1" s="1"/>
  <c r="J287" i="1" l="1"/>
  <c r="J292" i="1" s="1"/>
  <c r="J658" i="1"/>
  <c r="J664" i="1" s="1"/>
  <c r="J271" i="1"/>
  <c r="J107" i="1"/>
  <c r="J347" i="1"/>
  <c r="J95" i="1"/>
  <c r="J678" i="1"/>
  <c r="J728" i="1" s="1"/>
  <c r="K15" i="21"/>
  <c r="E23" i="22" l="1"/>
  <c r="J610" i="1"/>
  <c r="J616" i="1" s="1"/>
  <c r="J614" i="1"/>
  <c r="E21" i="22"/>
  <c r="J613" i="1" s="1"/>
  <c r="H147" i="1"/>
  <c r="K931" i="1" l="1"/>
  <c r="H382" i="1"/>
  <c r="H259" i="1" l="1"/>
  <c r="H218" i="1"/>
  <c r="H114" i="1"/>
  <c r="H111" i="1"/>
  <c r="H98" i="1"/>
  <c r="G640" i="1" l="1"/>
  <c r="F640" i="1"/>
  <c r="G382" i="1" l="1"/>
  <c r="F385" i="1"/>
  <c r="F292" i="1"/>
  <c r="G259" i="1"/>
  <c r="F218" i="1"/>
  <c r="G147" i="1"/>
  <c r="F147" i="1"/>
  <c r="G98" i="1"/>
  <c r="G111" i="1"/>
  <c r="F111" i="1"/>
  <c r="I259" i="1" l="1"/>
  <c r="I147" i="1"/>
  <c r="E19" i="22" l="1"/>
  <c r="J612" i="1" s="1"/>
  <c r="J619" i="1" s="1"/>
  <c r="J665" i="1" l="1"/>
  <c r="J857" i="1" s="1"/>
  <c r="J858" i="1" s="1"/>
  <c r="K13" i="19"/>
  <c r="E22" i="20" l="1"/>
  <c r="E15" i="32"/>
  <c r="E18" i="32" s="1"/>
  <c r="J528" i="1" s="1"/>
  <c r="J535" i="1" s="1"/>
  <c r="J570" i="1" s="1"/>
  <c r="J480" i="1"/>
  <c r="J486" i="1" s="1"/>
  <c r="J484" i="1"/>
  <c r="E20" i="20"/>
  <c r="J483" i="1" s="1"/>
  <c r="E15" i="20"/>
  <c r="E18" i="20" s="1"/>
  <c r="J482" i="1" s="1"/>
  <c r="K18" i="17"/>
  <c r="J430" i="1" l="1"/>
  <c r="J437" i="1" s="1"/>
  <c r="E18" i="18"/>
  <c r="E16" i="18"/>
  <c r="J434" i="1" s="1"/>
  <c r="J435" i="1"/>
  <c r="J489" i="1"/>
  <c r="J523" i="1" s="1"/>
  <c r="E14" i="18"/>
  <c r="J433" i="1" s="1"/>
  <c r="K23" i="12"/>
  <c r="E22" i="13" l="1"/>
  <c r="J321" i="1"/>
  <c r="J327" i="1" s="1"/>
  <c r="J440" i="1"/>
  <c r="J475" i="1" s="1"/>
  <c r="J325" i="1"/>
  <c r="E20" i="13"/>
  <c r="J324" i="1" s="1"/>
  <c r="E18" i="13"/>
  <c r="J323" i="1" s="1"/>
  <c r="K12" i="10"/>
  <c r="J274" i="1" s="1"/>
  <c r="J280" i="1" s="1"/>
  <c r="E19" i="11" l="1"/>
  <c r="J278" i="1" s="1"/>
  <c r="E17" i="11"/>
  <c r="J277" i="1" s="1"/>
  <c r="E12" i="11"/>
  <c r="E15" i="11" s="1"/>
  <c r="J276" i="1" s="1"/>
  <c r="J330" i="1"/>
  <c r="J374" i="1" s="1"/>
  <c r="K15" i="6"/>
  <c r="J182" i="1" s="1"/>
  <c r="J189" i="1" s="1"/>
  <c r="J283" i="1" l="1"/>
  <c r="J318" i="1" s="1"/>
  <c r="J186" i="1"/>
  <c r="J187" i="1"/>
  <c r="E18" i="7"/>
  <c r="J185" i="1" s="1"/>
  <c r="J174" i="1"/>
  <c r="J177" i="1" s="1"/>
  <c r="E78" i="5"/>
  <c r="J167" i="1" s="1"/>
  <c r="J169" i="1" s="1"/>
  <c r="E51" i="5"/>
  <c r="J148" i="1" s="1"/>
  <c r="J155" i="1" s="1"/>
  <c r="E21" i="5"/>
  <c r="J134" i="1" s="1"/>
  <c r="G1108" i="1" s="1"/>
  <c r="J192" i="1" l="1"/>
  <c r="J228" i="1" s="1"/>
  <c r="I1108" i="1"/>
  <c r="H1108" i="1"/>
  <c r="J1108" i="1"/>
  <c r="I114" i="1"/>
  <c r="I98" i="1"/>
  <c r="F1108" i="1"/>
  <c r="H391" i="1"/>
  <c r="H392" i="1" s="1"/>
  <c r="G391" i="1"/>
  <c r="F391" i="1"/>
  <c r="F213" i="1"/>
  <c r="F114" i="1"/>
  <c r="H1039" i="1"/>
  <c r="H1049" i="1" s="1"/>
  <c r="H1092" i="1" s="1"/>
  <c r="G1039" i="1"/>
  <c r="F1039" i="1"/>
  <c r="F1049" i="1" s="1"/>
  <c r="H965" i="1"/>
  <c r="H976" i="1" s="1"/>
  <c r="G965" i="1"/>
  <c r="G976" i="1" s="1"/>
  <c r="J958" i="1" s="1"/>
  <c r="F965" i="1"/>
  <c r="F719" i="1"/>
  <c r="G310" i="1"/>
  <c r="F177" i="1"/>
  <c r="I317" i="1"/>
  <c r="H317" i="1"/>
  <c r="G317" i="1"/>
  <c r="F317" i="1"/>
  <c r="I1039" i="1"/>
  <c r="I1049" i="1" s="1"/>
  <c r="I1092" i="1" s="1"/>
  <c r="I1005" i="1"/>
  <c r="I999" i="1"/>
  <c r="I991" i="1"/>
  <c r="H1005" i="1"/>
  <c r="H999" i="1"/>
  <c r="H991" i="1"/>
  <c r="G1005" i="1"/>
  <c r="G999" i="1"/>
  <c r="G991" i="1"/>
  <c r="F1005" i="1"/>
  <c r="F999" i="1"/>
  <c r="F991" i="1"/>
  <c r="I965" i="1"/>
  <c r="I353" i="1"/>
  <c r="H353" i="1"/>
  <c r="G353" i="1"/>
  <c r="F353" i="1"/>
  <c r="I410" i="1"/>
  <c r="H410" i="1"/>
  <c r="G410" i="1"/>
  <c r="F410" i="1"/>
  <c r="I391" i="1"/>
  <c r="G236" i="1"/>
  <c r="F236" i="1"/>
  <c r="G107" i="1"/>
  <c r="I791" i="1"/>
  <c r="H791" i="1"/>
  <c r="G791" i="1"/>
  <c r="F791" i="1"/>
  <c r="F774" i="1"/>
  <c r="F768" i="1"/>
  <c r="I764" i="1"/>
  <c r="H764" i="1"/>
  <c r="G764" i="1"/>
  <c r="F764" i="1"/>
  <c r="F743" i="1"/>
  <c r="H728" i="1"/>
  <c r="F727" i="1"/>
  <c r="F712" i="1"/>
  <c r="I705" i="1"/>
  <c r="G705" i="1"/>
  <c r="G728" i="1" s="1"/>
  <c r="F705" i="1"/>
  <c r="F702" i="1"/>
  <c r="F678" i="1"/>
  <c r="F664" i="1"/>
  <c r="F654" i="1"/>
  <c r="F650" i="1"/>
  <c r="I648" i="1"/>
  <c r="H648" i="1"/>
  <c r="G648" i="1"/>
  <c r="F648" i="1"/>
  <c r="F644" i="1"/>
  <c r="I638" i="1"/>
  <c r="H638" i="1"/>
  <c r="G638" i="1"/>
  <c r="F638" i="1"/>
  <c r="F628" i="1"/>
  <c r="I606" i="1"/>
  <c r="H606" i="1"/>
  <c r="G606" i="1"/>
  <c r="F606" i="1"/>
  <c r="I602" i="1"/>
  <c r="H602" i="1"/>
  <c r="G602" i="1"/>
  <c r="F602" i="1"/>
  <c r="F597" i="1"/>
  <c r="I593" i="1"/>
  <c r="H593" i="1"/>
  <c r="G593" i="1"/>
  <c r="F593" i="1"/>
  <c r="I590" i="1"/>
  <c r="H590" i="1"/>
  <c r="G590" i="1"/>
  <c r="F590" i="1"/>
  <c r="I583" i="1"/>
  <c r="H583" i="1"/>
  <c r="G583" i="1"/>
  <c r="F583" i="1"/>
  <c r="H522" i="1"/>
  <c r="G522" i="1"/>
  <c r="F522" i="1"/>
  <c r="I518" i="1"/>
  <c r="H518" i="1"/>
  <c r="G518" i="1"/>
  <c r="F518" i="1"/>
  <c r="I513" i="1"/>
  <c r="H513" i="1"/>
  <c r="G513" i="1"/>
  <c r="F513" i="1"/>
  <c r="I509" i="1"/>
  <c r="H509" i="1"/>
  <c r="G509" i="1"/>
  <c r="F509" i="1"/>
  <c r="F507" i="1"/>
  <c r="I496" i="1"/>
  <c r="H496" i="1"/>
  <c r="G496" i="1"/>
  <c r="F496" i="1"/>
  <c r="F474" i="1"/>
  <c r="F471" i="1"/>
  <c r="F468" i="1"/>
  <c r="F465" i="1"/>
  <c r="I461" i="1"/>
  <c r="H461" i="1"/>
  <c r="G461" i="1"/>
  <c r="F461" i="1"/>
  <c r="I457" i="1"/>
  <c r="H457" i="1"/>
  <c r="G457" i="1"/>
  <c r="F457" i="1"/>
  <c r="F451" i="1"/>
  <c r="I424" i="1"/>
  <c r="H424" i="1"/>
  <c r="G424" i="1"/>
  <c r="F424" i="1"/>
  <c r="I422" i="1"/>
  <c r="H422" i="1"/>
  <c r="G422" i="1"/>
  <c r="F422" i="1"/>
  <c r="F420" i="1"/>
  <c r="I417" i="1"/>
  <c r="H417" i="1"/>
  <c r="G417" i="1"/>
  <c r="F417" i="1"/>
  <c r="F406" i="1"/>
  <c r="F401" i="1"/>
  <c r="I398" i="1"/>
  <c r="H398" i="1"/>
  <c r="G398" i="1"/>
  <c r="F398" i="1"/>
  <c r="I389" i="1"/>
  <c r="G389" i="1"/>
  <c r="F389" i="1"/>
  <c r="F382" i="1"/>
  <c r="F373" i="1"/>
  <c r="I366" i="1"/>
  <c r="H366" i="1"/>
  <c r="G366" i="1"/>
  <c r="F366" i="1"/>
  <c r="I362" i="1"/>
  <c r="H362" i="1"/>
  <c r="G362" i="1"/>
  <c r="F362" i="1"/>
  <c r="F358" i="1"/>
  <c r="F347" i="1"/>
  <c r="I341" i="1"/>
  <c r="H341" i="1"/>
  <c r="G341" i="1"/>
  <c r="F341" i="1"/>
  <c r="I310" i="1"/>
  <c r="H310" i="1"/>
  <c r="F310" i="1"/>
  <c r="F307" i="1"/>
  <c r="I303" i="1"/>
  <c r="H303" i="1"/>
  <c r="G303" i="1"/>
  <c r="F303" i="1"/>
  <c r="I301" i="1"/>
  <c r="H301" i="1"/>
  <c r="G301" i="1"/>
  <c r="F301" i="1"/>
  <c r="F270" i="1"/>
  <c r="I262" i="1"/>
  <c r="H262" i="1"/>
  <c r="G262" i="1"/>
  <c r="F262" i="1"/>
  <c r="F259" i="1"/>
  <c r="I255" i="1"/>
  <c r="H255" i="1"/>
  <c r="G255" i="1"/>
  <c r="F255" i="1"/>
  <c r="I253" i="1"/>
  <c r="H253" i="1"/>
  <c r="G253" i="1"/>
  <c r="F253" i="1"/>
  <c r="I245" i="1"/>
  <c r="H245" i="1"/>
  <c r="G245" i="1"/>
  <c r="F245" i="1"/>
  <c r="I236" i="1"/>
  <c r="H236" i="1"/>
  <c r="I221" i="1"/>
  <c r="H221" i="1"/>
  <c r="G221" i="1"/>
  <c r="F221" i="1"/>
  <c r="I213" i="1"/>
  <c r="H213" i="1"/>
  <c r="G213" i="1"/>
  <c r="I209" i="1"/>
  <c r="H209" i="1"/>
  <c r="G209" i="1"/>
  <c r="F209" i="1"/>
  <c r="I202" i="1"/>
  <c r="H202" i="1"/>
  <c r="G202" i="1"/>
  <c r="F202" i="1"/>
  <c r="I169" i="1"/>
  <c r="H169" i="1"/>
  <c r="G169" i="1"/>
  <c r="F169" i="1"/>
  <c r="F163" i="1"/>
  <c r="I157" i="1"/>
  <c r="H157" i="1"/>
  <c r="G157" i="1"/>
  <c r="F157" i="1"/>
  <c r="I155" i="1"/>
  <c r="H155" i="1"/>
  <c r="G155" i="1"/>
  <c r="F155" i="1"/>
  <c r="F124" i="1"/>
  <c r="H107" i="1"/>
  <c r="F107" i="1"/>
  <c r="F102" i="1"/>
  <c r="F98" i="1"/>
  <c r="H95" i="1"/>
  <c r="G95" i="1"/>
  <c r="F95" i="1"/>
  <c r="F85" i="1"/>
  <c r="I59" i="1"/>
  <c r="H59" i="1"/>
  <c r="G59" i="1"/>
  <c r="F59" i="1"/>
  <c r="F54" i="1"/>
  <c r="F40" i="1"/>
  <c r="I34" i="1"/>
  <c r="H34" i="1"/>
  <c r="G34" i="1"/>
  <c r="F34" i="1"/>
  <c r="I32" i="1"/>
  <c r="H32" i="1"/>
  <c r="G32" i="1"/>
  <c r="F32" i="1"/>
  <c r="I28" i="1"/>
  <c r="H28" i="1"/>
  <c r="G28" i="1"/>
  <c r="F28" i="1"/>
  <c r="I21" i="1"/>
  <c r="H21" i="1"/>
  <c r="G21" i="1"/>
  <c r="F21" i="1"/>
  <c r="F18" i="1"/>
  <c r="I11" i="1"/>
  <c r="H11" i="1"/>
  <c r="G11" i="1"/>
  <c r="F11" i="1"/>
  <c r="I921" i="1"/>
  <c r="I877" i="1"/>
  <c r="H877" i="1"/>
  <c r="F945" i="1"/>
  <c r="G945" i="1"/>
  <c r="H945" i="1"/>
  <c r="E392" i="1"/>
  <c r="D392" i="1"/>
  <c r="C392" i="1"/>
  <c r="E425" i="1"/>
  <c r="D425" i="1"/>
  <c r="C425" i="1"/>
  <c r="E411" i="1"/>
  <c r="D411" i="1"/>
  <c r="C411" i="1"/>
  <c r="E318" i="1"/>
  <c r="D318" i="1"/>
  <c r="C318" i="1"/>
  <c r="E792" i="1"/>
  <c r="D792" i="1"/>
  <c r="C792" i="1"/>
  <c r="H921" i="1"/>
  <c r="G921" i="1"/>
  <c r="F913" i="1"/>
  <c r="I869" i="1"/>
  <c r="H869" i="1"/>
  <c r="G877" i="1"/>
  <c r="G869" i="1"/>
  <c r="F921" i="1"/>
  <c r="F869" i="1"/>
  <c r="F877" i="1"/>
  <c r="F951" i="1"/>
  <c r="G951" i="1"/>
  <c r="H951" i="1"/>
  <c r="K930" i="1"/>
  <c r="D125" i="1"/>
  <c r="E665" i="1"/>
  <c r="D665" i="1"/>
  <c r="D728" i="1"/>
  <c r="E728" i="1"/>
  <c r="C728" i="1"/>
  <c r="E523" i="1"/>
  <c r="D523" i="1"/>
  <c r="E475" i="1"/>
  <c r="D475" i="1"/>
  <c r="E374" i="1"/>
  <c r="D374" i="1"/>
  <c r="E178" i="1"/>
  <c r="D178" i="1"/>
  <c r="E607" i="1"/>
  <c r="D607" i="1"/>
  <c r="E125" i="1"/>
  <c r="E61" i="1"/>
  <c r="D61" i="1"/>
  <c r="C125" i="1"/>
  <c r="C665" i="1"/>
  <c r="C61" i="1"/>
  <c r="C523" i="1"/>
  <c r="C475" i="1"/>
  <c r="C374" i="1"/>
  <c r="C271" i="1"/>
  <c r="C178" i="1"/>
  <c r="C607" i="1"/>
  <c r="E271" i="1"/>
  <c r="D271" i="1"/>
  <c r="C921" i="1"/>
  <c r="G125" i="1" l="1"/>
  <c r="I1013" i="1"/>
  <c r="J976" i="1"/>
  <c r="I976" i="1"/>
  <c r="H61" i="1"/>
  <c r="G61" i="1"/>
  <c r="G665" i="1"/>
  <c r="G1015" i="1"/>
  <c r="H665" i="1"/>
  <c r="G1013" i="1"/>
  <c r="I1015" i="1"/>
  <c r="I61" i="1"/>
  <c r="I665" i="1"/>
  <c r="H1015" i="1"/>
  <c r="H1013" i="1"/>
  <c r="G318" i="1"/>
  <c r="E17" i="5"/>
  <c r="J133" i="1" s="1"/>
  <c r="J129" i="1"/>
  <c r="J135" i="1" s="1"/>
  <c r="E15" i="5"/>
  <c r="J132" i="1" s="1"/>
  <c r="G792" i="1"/>
  <c r="H318" i="1"/>
  <c r="G228" i="1"/>
  <c r="I318" i="1"/>
  <c r="G1049" i="1"/>
  <c r="G1092" i="1" s="1"/>
  <c r="H792" i="1"/>
  <c r="G392" i="1"/>
  <c r="I792" i="1"/>
  <c r="I523" i="1"/>
  <c r="I728" i="1"/>
  <c r="H523" i="1"/>
  <c r="G523" i="1"/>
  <c r="H228" i="1"/>
  <c r="H607" i="1"/>
  <c r="G271" i="1"/>
  <c r="I271" i="1"/>
  <c r="H271" i="1"/>
  <c r="H879" i="1"/>
  <c r="G879" i="1"/>
  <c r="J861" i="1" s="1"/>
  <c r="K934" i="1"/>
  <c r="I879" i="1"/>
  <c r="E13" i="5"/>
  <c r="J131" i="1" s="1"/>
  <c r="I392" i="1"/>
  <c r="I934" i="1"/>
  <c r="K19" i="2"/>
  <c r="F1013" i="1"/>
  <c r="F879" i="1"/>
  <c r="H374" i="1"/>
  <c r="I107" i="1"/>
  <c r="G411" i="1"/>
  <c r="G425" i="1"/>
  <c r="I475" i="1"/>
  <c r="I111" i="1"/>
  <c r="I95" i="1"/>
  <c r="F1092" i="1"/>
  <c r="F976" i="1"/>
  <c r="F523" i="1"/>
  <c r="F411" i="1"/>
  <c r="I228" i="1"/>
  <c r="F178" i="1"/>
  <c r="F1015" i="1"/>
  <c r="F792" i="1"/>
  <c r="F728" i="1"/>
  <c r="F665" i="1"/>
  <c r="I607" i="1"/>
  <c r="F607" i="1"/>
  <c r="G607" i="1"/>
  <c r="F475" i="1"/>
  <c r="H475" i="1"/>
  <c r="G475" i="1"/>
  <c r="F425" i="1"/>
  <c r="H425" i="1"/>
  <c r="I425" i="1"/>
  <c r="H411" i="1"/>
  <c r="I411" i="1"/>
  <c r="F392" i="1"/>
  <c r="G374" i="1"/>
  <c r="I374" i="1"/>
  <c r="F374" i="1"/>
  <c r="F318" i="1"/>
  <c r="F271" i="1"/>
  <c r="F228" i="1"/>
  <c r="H178" i="1"/>
  <c r="G178" i="1"/>
  <c r="F125" i="1"/>
  <c r="H125" i="1"/>
  <c r="F61" i="1"/>
  <c r="J65" i="1" l="1"/>
  <c r="J72" i="1" s="1"/>
  <c r="E30" i="3"/>
  <c r="E32" i="3"/>
  <c r="H573" i="1"/>
  <c r="G573" i="1"/>
  <c r="G574" i="1" s="1"/>
  <c r="E25" i="3"/>
  <c r="E28" i="3" s="1"/>
  <c r="J68" i="1" s="1"/>
  <c r="J138" i="1"/>
  <c r="J178" i="1" s="1"/>
  <c r="H857" i="1"/>
  <c r="H858" i="1" s="1"/>
  <c r="I857" i="1"/>
  <c r="G857" i="1"/>
  <c r="G858" i="1" s="1"/>
  <c r="J879" i="1"/>
  <c r="I178" i="1"/>
  <c r="F1105" i="1"/>
  <c r="F857" i="1"/>
  <c r="F858" i="1" s="1"/>
  <c r="F573" i="1"/>
  <c r="F574" i="1" s="1"/>
  <c r="G1105" i="1" l="1"/>
  <c r="I1105" i="1" s="1"/>
  <c r="J69" i="1"/>
  <c r="G1106" i="1" s="1"/>
  <c r="H1106" i="1" s="1"/>
  <c r="H574" i="1"/>
  <c r="J70" i="1"/>
  <c r="G1107" i="1" s="1"/>
  <c r="J1107" i="1" s="1"/>
  <c r="F1106" i="1"/>
  <c r="I125" i="1"/>
  <c r="F1107" i="1"/>
  <c r="I573" i="1" l="1"/>
  <c r="I574" i="1" s="1"/>
  <c r="H1105" i="1"/>
  <c r="J1105" i="1"/>
  <c r="J75" i="1"/>
  <c r="J125" i="1" s="1"/>
  <c r="J573" i="1" s="1"/>
  <c r="I1106" i="1"/>
  <c r="J1106" i="1"/>
  <c r="I1107" i="1"/>
  <c r="H1107" i="1"/>
  <c r="F1110" i="1"/>
  <c r="J574" i="1" l="1"/>
  <c r="J1110" i="1"/>
  <c r="I1110" i="1"/>
  <c r="H1110" i="1"/>
  <c r="G1110" i="1"/>
  <c r="G1115" i="1" s="1"/>
  <c r="J1112" i="1" l="1"/>
  <c r="H1112" i="1"/>
  <c r="I1112" i="1"/>
  <c r="G1116" i="1"/>
  <c r="I858" i="1"/>
  <c r="I1115" i="1" l="1"/>
  <c r="I1116" i="1"/>
  <c r="H1116" i="1"/>
  <c r="H1115" i="1"/>
  <c r="J1115" i="1"/>
  <c r="J1116" i="1"/>
</calcChain>
</file>

<file path=xl/comments1.xml><?xml version="1.0" encoding="utf-8"?>
<comments xmlns="http://schemas.openxmlformats.org/spreadsheetml/2006/main">
  <authors>
    <author>Judy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Panes are frozen; to undo, click "view", then "unfreeze"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credit
need to research why so  high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KENEDY ISD PMT? BILLED YET?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City Mgr rate s/b $100,000 per mo.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City Mgr rate s/b $100,000 per mo.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Prior yr budget included assistant city mgr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Prior yr budget included assistant city mgr</t>
        </r>
      </text>
    </comment>
    <comment ref="I94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Vincente Rico Raise </t>
        </r>
      </text>
    </comment>
    <comment ref="J119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UPDATED PER LETTER FROM KCAD
</t>
        </r>
      </text>
    </comment>
    <comment ref="K119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UPDATED PER LETTER FROM KCAD
</t>
        </r>
      </text>
    </comment>
    <comment ref="I156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Assumes purchase of 2 AC Heating units by 9/30/16
</t>
        </r>
      </text>
    </comment>
    <comment ref="J216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New A/C Heater
</t>
        </r>
      </text>
    </comment>
    <comment ref="I222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Assumes new Kennel &amp; fencing still to pay
</t>
        </r>
      </text>
    </comment>
    <comment ref="J222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Kennels
</t>
        </r>
      </text>
    </comment>
    <comment ref="J269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Grant from Marathon for equipment
</t>
        </r>
      </text>
    </comment>
    <comment ref="J274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Code compliance
separate division in 2018
</t>
        </r>
      </text>
    </comment>
    <comment ref="J300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See Code Compliance division 12
</t>
        </r>
      </text>
    </comment>
    <comment ref="K300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See Code Compliance division 12
</t>
        </r>
      </text>
    </comment>
    <comment ref="J321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Johnny sal now partially pd by WWS</t>
        </r>
      </text>
    </comment>
    <comment ref="I322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Prior year pd SW Engineers; unknown for 2016
</t>
        </r>
      </text>
    </comment>
    <comment ref="I470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Lease pmt per Sandra
</t>
        </r>
      </text>
    </comment>
    <comment ref="J62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See division 64
</t>
        </r>
      </text>
    </comment>
    <comment ref="K62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See division 64
</t>
        </r>
      </text>
    </comment>
    <comment ref="J634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3 land owners at $2500 ea for test well</t>
        </r>
      </text>
    </comment>
    <comment ref="K634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3 land owners at $2500 ea for test well</t>
        </r>
      </text>
    </comment>
    <comment ref="J651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filing cabinet
</t>
        </r>
      </text>
    </comment>
    <comment ref="J652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Ice Machine school St;
</t>
        </r>
      </text>
    </comment>
    <comment ref="J66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Barbara Shaw amt of transfer needs increase; several yrs of no increase</t>
        </r>
      </text>
    </comment>
    <comment ref="J706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desk &amp; lockers
</t>
        </r>
      </text>
    </comment>
    <comment ref="K706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desk &amp; lockers
</t>
        </r>
      </text>
    </comment>
    <comment ref="J77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membraines &amp; trains
</t>
        </r>
      </text>
    </comment>
    <comment ref="I841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assumes 50% of projects still may be done. ??
</t>
        </r>
      </text>
    </comment>
    <comment ref="J87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Brentwood &amp; Park Area
</t>
        </r>
      </text>
    </comment>
    <comment ref="I973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Ask Barbara
</t>
        </r>
      </text>
    </comment>
    <comment ref="I1035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INCLUDES $198,000 RECEIVED FROM STAT OIL 7/31
</t>
        </r>
      </text>
    </comment>
    <comment ref="J1075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3 year payout
</t>
        </r>
      </text>
    </comment>
    <comment ref="K1075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3 year payout
</t>
        </r>
      </text>
    </comment>
  </commentList>
</comments>
</file>

<file path=xl/comments2.xml><?xml version="1.0" encoding="utf-8"?>
<comments xmlns="http://schemas.openxmlformats.org/spreadsheetml/2006/main">
  <authors>
    <author>Judy</author>
  </authors>
  <commentList>
    <comment ref="E77" authorId="0" shapeId="0">
      <text>
        <r>
          <rPr>
            <b/>
            <sz val="9"/>
            <color indexed="81"/>
            <rFont val="Tahoma"/>
            <family val="2"/>
          </rPr>
          <t>Judy:</t>
        </r>
        <r>
          <rPr>
            <sz val="9"/>
            <color indexed="81"/>
            <rFont val="Tahoma"/>
            <family val="2"/>
          </rPr>
          <t xml:space="preserve">
Per B. Shaw - admin fee
for water fund s/b
$100,000 per month to gen fd  (4 divisions inWW)</t>
        </r>
      </text>
    </comment>
  </commentList>
</comments>
</file>

<file path=xl/sharedStrings.xml><?xml version="1.0" encoding="utf-8"?>
<sst xmlns="http://schemas.openxmlformats.org/spreadsheetml/2006/main" count="2342" uniqueCount="1094">
  <si>
    <t>Inspection Fees</t>
  </si>
  <si>
    <t>Telephone</t>
  </si>
  <si>
    <t>Electricity</t>
  </si>
  <si>
    <t>Administrative Fees</t>
  </si>
  <si>
    <t>Total RO</t>
  </si>
  <si>
    <t>Salaries</t>
  </si>
  <si>
    <t>Total General Fund Income</t>
  </si>
  <si>
    <t>Advertising-AC</t>
  </si>
  <si>
    <t>Total Streets</t>
  </si>
  <si>
    <t>Total Parks</t>
  </si>
  <si>
    <t>Total Airport</t>
  </si>
  <si>
    <t>Total Library</t>
  </si>
  <si>
    <t>2004 Series Bond Payment</t>
  </si>
  <si>
    <t>Total</t>
  </si>
  <si>
    <t>Parks Grant</t>
  </si>
  <si>
    <t xml:space="preserve"> </t>
  </si>
  <si>
    <t>General Fund Expenditures</t>
  </si>
  <si>
    <t>Economic Development</t>
  </si>
  <si>
    <t>Vendor Permits</t>
  </si>
  <si>
    <t>Payroll Taxes</t>
  </si>
  <si>
    <t>Advertising</t>
  </si>
  <si>
    <t xml:space="preserve">Dividends </t>
  </si>
  <si>
    <t>Landscaping</t>
  </si>
  <si>
    <t>Total Utility Fund</t>
  </si>
  <si>
    <t>Total General Fund Exp</t>
  </si>
  <si>
    <t>Total Administration</t>
  </si>
  <si>
    <t>Reconnect Fees</t>
  </si>
  <si>
    <t xml:space="preserve"> Budget 08/09</t>
  </si>
  <si>
    <t>Actual5/31/09</t>
  </si>
  <si>
    <t>Estimated 08/09</t>
  </si>
  <si>
    <t>Actual 5/31/09</t>
  </si>
  <si>
    <t>Budget 08/09</t>
  </si>
  <si>
    <t xml:space="preserve"> Budget 08/08</t>
  </si>
  <si>
    <t>Bond Issue</t>
  </si>
  <si>
    <t xml:space="preserve">   Total</t>
  </si>
  <si>
    <t>2009 Tax &amp; Rev. CO's</t>
  </si>
  <si>
    <t>Description</t>
  </si>
  <si>
    <t>Beginning Balance 10/01</t>
  </si>
  <si>
    <t xml:space="preserve">   W &amp; WW Fund Transfer</t>
  </si>
  <si>
    <t>TOTAL Revenue</t>
  </si>
  <si>
    <t>REVENUE</t>
  </si>
  <si>
    <t>EXPENSES</t>
  </si>
  <si>
    <t xml:space="preserve">   Equipment</t>
  </si>
  <si>
    <t xml:space="preserve">   Street Improv. Proj.</t>
  </si>
  <si>
    <t xml:space="preserve">   Professional Fees</t>
  </si>
  <si>
    <t xml:space="preserve">   Other</t>
  </si>
  <si>
    <t>TOTAL Expenses</t>
  </si>
  <si>
    <t>Ending Balance 9/30</t>
  </si>
  <si>
    <t>General Surplus&lt;Deficit&gt;</t>
  </si>
  <si>
    <t>Utility Surplus&lt;Deficit&gt;</t>
  </si>
  <si>
    <t>Professional Services</t>
  </si>
  <si>
    <t>Principal</t>
  </si>
  <si>
    <t>Interest</t>
  </si>
  <si>
    <t>Admin. Fees</t>
  </si>
  <si>
    <t>Total Debt Service Reqs.</t>
  </si>
  <si>
    <t>Interest &amp; Sinking Fund Revenues/Expenses</t>
  </si>
  <si>
    <t>2004 COs</t>
  </si>
  <si>
    <t>Revenue</t>
  </si>
  <si>
    <t xml:space="preserve">     Ad Valorem Taxes</t>
  </si>
  <si>
    <t xml:space="preserve">     Water &amp; Sewer System</t>
  </si>
  <si>
    <t xml:space="preserve">     Total</t>
  </si>
  <si>
    <t>Expenses</t>
  </si>
  <si>
    <t xml:space="preserve">     Principal</t>
  </si>
  <si>
    <t xml:space="preserve">     Interest &amp; Fees</t>
  </si>
  <si>
    <t>Total Revenue</t>
  </si>
  <si>
    <t>Cost of Living Adjustments</t>
  </si>
  <si>
    <t>Line Item Description</t>
  </si>
  <si>
    <t>Payroll</t>
  </si>
  <si>
    <t>TMRS Retirement</t>
  </si>
  <si>
    <t>Worker's Comp. Insurance</t>
  </si>
  <si>
    <t>Current</t>
  </si>
  <si>
    <t>Equipment Rent</t>
  </si>
  <si>
    <t>Miscellaneous</t>
  </si>
  <si>
    <t xml:space="preserve">   Interest</t>
  </si>
  <si>
    <t>Contingency</t>
  </si>
  <si>
    <t>00-301.01</t>
  </si>
  <si>
    <t>General Fund No. 10</t>
  </si>
  <si>
    <t>00-301.02</t>
  </si>
  <si>
    <t>00-301.03</t>
  </si>
  <si>
    <t>00-301.05</t>
  </si>
  <si>
    <t>00-301.06</t>
  </si>
  <si>
    <t>00-301.07</t>
  </si>
  <si>
    <t>00-301.08</t>
  </si>
  <si>
    <t>Current AV Taxes</t>
  </si>
  <si>
    <t>Delinquent AV Taxes</t>
  </si>
  <si>
    <t>Penalty &amp; Interest</t>
  </si>
  <si>
    <t>Attorney Fees</t>
  </si>
  <si>
    <t>County Admin. Fee</t>
  </si>
  <si>
    <t>County Atty. Fees</t>
  </si>
  <si>
    <t>Partial Payments</t>
  </si>
  <si>
    <t>Total AV Taxes</t>
  </si>
  <si>
    <t>00-302.01</t>
  </si>
  <si>
    <t>00-302.02</t>
  </si>
  <si>
    <t>00-302.03</t>
  </si>
  <si>
    <t>00-302.04</t>
  </si>
  <si>
    <t>Gas</t>
  </si>
  <si>
    <t>Electric</t>
  </si>
  <si>
    <t>Cable TV</t>
  </si>
  <si>
    <t>Total Franchise Taxes</t>
  </si>
  <si>
    <t>00-303.01</t>
  </si>
  <si>
    <t>00-303.02</t>
  </si>
  <si>
    <t>Sales Tax</t>
  </si>
  <si>
    <t>Alcoholic Beverage Tax</t>
  </si>
  <si>
    <t>Total Sales Tax</t>
  </si>
  <si>
    <t>00-304.01</t>
  </si>
  <si>
    <t>00-304.03</t>
  </si>
  <si>
    <t>00-304.04</t>
  </si>
  <si>
    <t>00-304.05</t>
  </si>
  <si>
    <t>00-304.06</t>
  </si>
  <si>
    <t>Constr. Permits</t>
  </si>
  <si>
    <t>Building Permits</t>
  </si>
  <si>
    <t>Garage Sales</t>
  </si>
  <si>
    <t>Total Permits &amp; Fees</t>
  </si>
  <si>
    <t>00-305.01</t>
  </si>
  <si>
    <t>00-305.02</t>
  </si>
  <si>
    <t>00-305.03</t>
  </si>
  <si>
    <t>Municipal Court Fines</t>
  </si>
  <si>
    <t>Code Compliance</t>
  </si>
  <si>
    <t>Animal Control</t>
  </si>
  <si>
    <t>Total Fines</t>
  </si>
  <si>
    <t>00-306.01</t>
  </si>
  <si>
    <t>Total Garbage Collection</t>
  </si>
  <si>
    <t>00-307.01</t>
  </si>
  <si>
    <t>00-307.02</t>
  </si>
  <si>
    <t>00-307.03</t>
  </si>
  <si>
    <t>00-307.04</t>
  </si>
  <si>
    <t>Auditorium</t>
  </si>
  <si>
    <t>Pavillion</t>
  </si>
  <si>
    <t>Gazebo</t>
  </si>
  <si>
    <t>Ball Fields</t>
  </si>
  <si>
    <t>Total Rents</t>
  </si>
  <si>
    <t>00-308.01</t>
  </si>
  <si>
    <t>00-308.02</t>
  </si>
  <si>
    <t>00-308.04</t>
  </si>
  <si>
    <t>00-308.05</t>
  </si>
  <si>
    <t>00-308.06</t>
  </si>
  <si>
    <t>00-308.07</t>
  </si>
  <si>
    <t>00-308.09</t>
  </si>
  <si>
    <t>Administrative Servs.</t>
  </si>
  <si>
    <t>Fire District</t>
  </si>
  <si>
    <t>Surplus Equipment Sales</t>
  </si>
  <si>
    <t>Interest Earned</t>
  </si>
  <si>
    <t>Dividend Revenue</t>
  </si>
  <si>
    <t>Fire Department</t>
  </si>
  <si>
    <t>Total Other Revenue</t>
  </si>
  <si>
    <t>00-309.01</t>
  </si>
  <si>
    <t>00-309.02</t>
  </si>
  <si>
    <t>00-309.03</t>
  </si>
  <si>
    <t>00-309.04</t>
  </si>
  <si>
    <t>Fax Service</t>
  </si>
  <si>
    <t>Copies</t>
  </si>
  <si>
    <t>Stamps</t>
  </si>
  <si>
    <t>NSF Fees</t>
  </si>
  <si>
    <t xml:space="preserve">Total Sundry Revenues </t>
  </si>
  <si>
    <t>00-510.01</t>
  </si>
  <si>
    <t>Professional Servs.</t>
  </si>
  <si>
    <t>Elected Officials/Volunteers</t>
  </si>
  <si>
    <t>Empl. Health Insur.</t>
  </si>
  <si>
    <t>Retirement</t>
  </si>
  <si>
    <t>Total Salaries &amp; Wages</t>
  </si>
  <si>
    <t>Administration Dept. No. 00</t>
  </si>
  <si>
    <t>Office Supplies</t>
  </si>
  <si>
    <t>Meals &amp; Meetings</t>
  </si>
  <si>
    <t xml:space="preserve">Gasoline </t>
  </si>
  <si>
    <t xml:space="preserve">Janitorial </t>
  </si>
  <si>
    <t>Other Supplies</t>
  </si>
  <si>
    <t>Total Consumable Supplies</t>
  </si>
  <si>
    <t>Total Misc. Servs.</t>
  </si>
  <si>
    <t>Telephone/Internet</t>
  </si>
  <si>
    <t>Non-Professional Servs.</t>
  </si>
  <si>
    <t>Travel Expense</t>
  </si>
  <si>
    <t>Software Lease</t>
  </si>
  <si>
    <t>Contracted Servs.</t>
  </si>
  <si>
    <t>Bldg. Maintenance</t>
  </si>
  <si>
    <t>Total Bldg. Maintenance</t>
  </si>
  <si>
    <t>Total Equip. Maintenance</t>
  </si>
  <si>
    <t>Equip. Maintenance</t>
  </si>
  <si>
    <t>Empl. Bonus</t>
  </si>
  <si>
    <t>Total Sundry Expenses</t>
  </si>
  <si>
    <t>Dues &amp; Subscriptions</t>
  </si>
  <si>
    <t>Training</t>
  </si>
  <si>
    <t>Election Expenses</t>
  </si>
  <si>
    <t>Buildings</t>
  </si>
  <si>
    <t>Decorations</t>
  </si>
  <si>
    <t>00-610.01</t>
  </si>
  <si>
    <t>Total General Transfers</t>
  </si>
  <si>
    <t>Debt Service</t>
  </si>
  <si>
    <t>Garbage Collection Serv.</t>
  </si>
  <si>
    <t>Planning &amp; Zoning</t>
  </si>
  <si>
    <t>Appraisal District</t>
  </si>
  <si>
    <t>Downtown Revitalization Proj.</t>
  </si>
  <si>
    <t>Consulting</t>
  </si>
  <si>
    <t>Police Dept. No. 02</t>
  </si>
  <si>
    <t>02-510.01</t>
  </si>
  <si>
    <t>Health Insurance</t>
  </si>
  <si>
    <t>Bonus</t>
  </si>
  <si>
    <t>Postage</t>
  </si>
  <si>
    <t>Uniforms</t>
  </si>
  <si>
    <t>Fuel</t>
  </si>
  <si>
    <t xml:space="preserve">Minor Apparatus &amp; Tools </t>
  </si>
  <si>
    <t>Janitorial</t>
  </si>
  <si>
    <t>Telephone &amp; Internet</t>
  </si>
  <si>
    <t>Total Equip. &amp; Vehicle Maintenance</t>
  </si>
  <si>
    <t>Furniture &amp; Fixtures</t>
  </si>
  <si>
    <t>Machinery &amp; Tools</t>
  </si>
  <si>
    <t>Cars &amp; Trucks</t>
  </si>
  <si>
    <t>Radio Systems</t>
  </si>
  <si>
    <t xml:space="preserve">LEOSE </t>
  </si>
  <si>
    <t>Animal Control Dept. No. 03</t>
  </si>
  <si>
    <t>03-510.01</t>
  </si>
  <si>
    <t>Total Salaries</t>
  </si>
  <si>
    <t>Minor Tools &amp; Apparatus</t>
  </si>
  <si>
    <t>Chemical &amp; Medical</t>
  </si>
  <si>
    <t xml:space="preserve">Total Consumable Supplies </t>
  </si>
  <si>
    <t>Food for Animals</t>
  </si>
  <si>
    <t>Total Bldg. &amp; Structure Maintenance</t>
  </si>
  <si>
    <t>Other</t>
  </si>
  <si>
    <t>Training &amp; Testing</t>
  </si>
  <si>
    <t>Total Police Department</t>
  </si>
  <si>
    <t>Total Animal Control</t>
  </si>
  <si>
    <t>Kenedy VFD Dept. No. 04</t>
  </si>
  <si>
    <t>Budget 2012-13</t>
  </si>
  <si>
    <t>Pensions</t>
  </si>
  <si>
    <t>Food &amp; Refreshments</t>
  </si>
  <si>
    <t>Minor Apparatus &amp; Tools</t>
  </si>
  <si>
    <t>Natural Gas</t>
  </si>
  <si>
    <t>Radio System</t>
  </si>
  <si>
    <t>Protective Gear</t>
  </si>
  <si>
    <t>Other Capital Outlay</t>
  </si>
  <si>
    <t>05-510.01</t>
  </si>
  <si>
    <t>Consumable Supplies</t>
  </si>
  <si>
    <t>Gasoline &amp; Lubricants</t>
  </si>
  <si>
    <t>Lot Main. &amp; Bldg. Demolition</t>
  </si>
  <si>
    <t>Total Equip. &amp; Vehicle Main.</t>
  </si>
  <si>
    <t>Street Dept. No. 06</t>
  </si>
  <si>
    <t>06-510.01</t>
  </si>
  <si>
    <t>Annual Bonus</t>
  </si>
  <si>
    <t>Diesel Fuel</t>
  </si>
  <si>
    <t>Equip. Rental</t>
  </si>
  <si>
    <t>Building</t>
  </si>
  <si>
    <t xml:space="preserve">Street Maintenance </t>
  </si>
  <si>
    <t>Off-Road Equip.</t>
  </si>
  <si>
    <t>Traffic Signals &amp; Lighting</t>
  </si>
  <si>
    <t>Street Name Signs</t>
  </si>
  <si>
    <t>Traffic Signs</t>
  </si>
  <si>
    <t>Emergency Management Dept. No. 07</t>
  </si>
  <si>
    <t>Airport Dept. No. 08</t>
  </si>
  <si>
    <t>08-510.03</t>
  </si>
  <si>
    <t>Total Bldg.&amp; Structure Main.</t>
  </si>
  <si>
    <t>Runway &amp; Lights</t>
  </si>
  <si>
    <t>Library Dept. No. 09</t>
  </si>
  <si>
    <t>09-520.08</t>
  </si>
  <si>
    <t>Total Equip. &amp; Veh. Maintenance</t>
  </si>
  <si>
    <t>AC/Heating System</t>
  </si>
  <si>
    <t>Building &amp; Structure Maintenance</t>
  </si>
  <si>
    <t>Building Maintenance</t>
  </si>
  <si>
    <t>Park Dept. No. 10</t>
  </si>
  <si>
    <t>10-510.01</t>
  </si>
  <si>
    <t xml:space="preserve">Food for Volunteers </t>
  </si>
  <si>
    <t xml:space="preserve">Building &amp; Structure Maintenance </t>
  </si>
  <si>
    <t>Capital Outlay-Bldg. &amp; Structures</t>
  </si>
  <si>
    <t>Holchak Light System</t>
  </si>
  <si>
    <t>Capital Outlay-Vehicles &amp; Equip.</t>
  </si>
  <si>
    <t>Municipal Court Dept. No. 11</t>
  </si>
  <si>
    <t>11-510.01</t>
  </si>
  <si>
    <t>Total Wages</t>
  </si>
  <si>
    <t>Total Misc. Expenses</t>
  </si>
  <si>
    <t>Travel</t>
  </si>
  <si>
    <t>Rent &amp; Leases</t>
  </si>
  <si>
    <t>State Criminal Fees</t>
  </si>
  <si>
    <t>Building Main.</t>
  </si>
  <si>
    <t>Wilson County Jail</t>
  </si>
  <si>
    <t>Jury &amp; Witness Fees</t>
  </si>
  <si>
    <t>Capital Outlay-Machinery &amp; Tools</t>
  </si>
  <si>
    <t>Capital Outlay-Equipment</t>
  </si>
  <si>
    <t>Capital Outlay-Equipment &amp; Tools</t>
  </si>
  <si>
    <t>Capital Outlay-Equip. &amp; Tools</t>
  </si>
  <si>
    <t>Utility Revenues Dept. No. 00</t>
  </si>
  <si>
    <t>00-351.01</t>
  </si>
  <si>
    <t>Municipal Water Sales</t>
  </si>
  <si>
    <t>TDCJ Water Sales</t>
  </si>
  <si>
    <t xml:space="preserve">Bulk Water </t>
  </si>
  <si>
    <t>Total Water Sales</t>
  </si>
  <si>
    <t>Aqualon Water Sales</t>
  </si>
  <si>
    <t>Municipal Sewer Serv.</t>
  </si>
  <si>
    <t>TDCJ Sewer</t>
  </si>
  <si>
    <t>Aqualon Sewer</t>
  </si>
  <si>
    <t>Treated Effluent</t>
  </si>
  <si>
    <t>Sewer Disposal Fees</t>
  </si>
  <si>
    <t>Total Sewer Service</t>
  </si>
  <si>
    <t>Utility Tap Fees</t>
  </si>
  <si>
    <t>Water Taps</t>
  </si>
  <si>
    <t>Sewer Taps</t>
  </si>
  <si>
    <t>Penalties &amp; Fees</t>
  </si>
  <si>
    <t>Late Payment Fees</t>
  </si>
  <si>
    <t>Interest Earned &amp; Dividends</t>
  </si>
  <si>
    <t>Unrestricted Interest</t>
  </si>
  <si>
    <t>Restricted Interest</t>
  </si>
  <si>
    <t>Reserve</t>
  </si>
  <si>
    <t>Misc. Revenues</t>
  </si>
  <si>
    <t>Miscellaneous Revenues</t>
  </si>
  <si>
    <t>Cash Over/Short</t>
  </si>
  <si>
    <t>61-510.01</t>
  </si>
  <si>
    <t>Contracted Services</t>
  </si>
  <si>
    <t>Permits &amp; Fees</t>
  </si>
  <si>
    <t>Water Distribution Lines</t>
  </si>
  <si>
    <t>Machinery &amp; Equip. Maintenance</t>
  </si>
  <si>
    <t>Capital Outlay-Building &amp; Structures</t>
  </si>
  <si>
    <t>Water Line Extensions</t>
  </si>
  <si>
    <t>Machinery &amp; Equip.</t>
  </si>
  <si>
    <t>Repair/Replacement</t>
  </si>
  <si>
    <t>Veolia Overrun Allowance</t>
  </si>
  <si>
    <t>Administrative Expense Transfer</t>
  </si>
  <si>
    <t xml:space="preserve">Paving Fund </t>
  </si>
  <si>
    <t xml:space="preserve">Kenedy VFD </t>
  </si>
  <si>
    <t>WWTP Dept. No. 62</t>
  </si>
  <si>
    <t>Rent &amp; Lease Expenses</t>
  </si>
  <si>
    <t>Sewer Collection Lines</t>
  </si>
  <si>
    <t>Capital Outlay-Bldgs. &amp; Structures</t>
  </si>
  <si>
    <t>Total Water Transfers</t>
  </si>
  <si>
    <t>Total Wastewater Transfers</t>
  </si>
  <si>
    <t>Administrative Expense Trans.</t>
  </si>
  <si>
    <t>Reverse Osmosis Dept. No. 63</t>
  </si>
  <si>
    <t>Bldg. &amp; Structure Maintenance</t>
  </si>
  <si>
    <t>Equip. &amp; Vehicle Maintenance</t>
  </si>
  <si>
    <t>Total RO Transfers</t>
  </si>
  <si>
    <t>Workers Comp. Insur.</t>
  </si>
  <si>
    <t xml:space="preserve">Workers Comp. Insur. </t>
  </si>
  <si>
    <t>Total Fire Department</t>
  </si>
  <si>
    <t>Recording Fees</t>
  </si>
  <si>
    <t>07-520.01</t>
  </si>
  <si>
    <t>Machinery/Implements</t>
  </si>
  <si>
    <t>Capital Outlay-Machinery &amp; Implements</t>
  </si>
  <si>
    <t>Food Supplies</t>
  </si>
  <si>
    <t xml:space="preserve">AC/Heat System </t>
  </si>
  <si>
    <t>04-510.03</t>
  </si>
  <si>
    <t>Machinery &amp; Equipment</t>
  </si>
  <si>
    <t>Buildings &amp; Structures</t>
  </si>
  <si>
    <t>Light System</t>
  </si>
  <si>
    <t>Furniture &amp; fixtures</t>
  </si>
  <si>
    <t>Escondido &amp; Nichols Creek</t>
  </si>
  <si>
    <t>Capital Outlay- Bldg. &amp; Structure</t>
  </si>
  <si>
    <t xml:space="preserve">Capital Outlay-Bldg. &amp; Structure </t>
  </si>
  <si>
    <t>HOTEL/MOTEL TAX FUND</t>
  </si>
  <si>
    <t xml:space="preserve">   Occupancy Tax Receipts</t>
  </si>
  <si>
    <t xml:space="preserve">   Total Revenue</t>
  </si>
  <si>
    <t xml:space="preserve">   Chamber of Commerce</t>
  </si>
  <si>
    <t xml:space="preserve">   Total Expenses</t>
  </si>
  <si>
    <t xml:space="preserve">   General Fund Transfer</t>
  </si>
  <si>
    <t>00-304.02</t>
  </si>
  <si>
    <t>CAPITAL IMPROV. PROJECT (CIP) FUND</t>
  </si>
  <si>
    <t xml:space="preserve">   Other Royalties</t>
  </si>
  <si>
    <t>Total Revenues</t>
  </si>
  <si>
    <t>Total Expenses</t>
  </si>
  <si>
    <t xml:space="preserve">Developer Contrib. for W&amp;S </t>
  </si>
  <si>
    <t>Royalty Payments:</t>
  </si>
  <si>
    <t>2009 COs</t>
  </si>
  <si>
    <t>Total Municipal Court</t>
  </si>
  <si>
    <t>Garbage Collection</t>
  </si>
  <si>
    <t>BUDGET REQUEST SHEET</t>
  </si>
  <si>
    <t>FUND:</t>
  </si>
  <si>
    <t>10-General</t>
  </si>
  <si>
    <t>DEPT:</t>
  </si>
  <si>
    <t>00-Administration</t>
  </si>
  <si>
    <t xml:space="preserve">Acct. No. </t>
  </si>
  <si>
    <t xml:space="preserve">Description                                                                   </t>
  </si>
  <si>
    <t xml:space="preserve">Amount       </t>
  </si>
  <si>
    <t>City Manager's auto allowance @ 500/mon.</t>
  </si>
  <si>
    <t>City Manager's cell phone allowance @ 60/mon.</t>
  </si>
  <si>
    <t xml:space="preserve">Total </t>
  </si>
  <si>
    <t>Legal services</t>
  </si>
  <si>
    <t>Monthly accounting service</t>
  </si>
  <si>
    <t>LESS:  4B Corp. transfer for accounting service</t>
  </si>
  <si>
    <t>Payroll Taxes @ 7.65%</t>
  </si>
  <si>
    <t xml:space="preserve">W/C Insur. Elected &amp; Appointed  Officials    </t>
  </si>
  <si>
    <t>Copy machine paper, toner &amp; supplies</t>
  </si>
  <si>
    <t>Postage meter rent @ 198/qrt.</t>
  </si>
  <si>
    <t>Property &amp; casuality insurance (Does not include W/C)</t>
  </si>
  <si>
    <t>Other custodial services</t>
  </si>
  <si>
    <t>Other software maintenance</t>
  </si>
  <si>
    <t>Electrical/plumbing maintenance</t>
  </si>
  <si>
    <t>Routine bldg. maintenance</t>
  </si>
  <si>
    <t>TCMA dues</t>
  </si>
  <si>
    <t>AACOG dues</t>
  </si>
  <si>
    <t>Municipal clerk assoc.</t>
  </si>
  <si>
    <t>TML dues</t>
  </si>
  <si>
    <t>Newspaper subscription</t>
  </si>
  <si>
    <t>State Co-Op purchasing</t>
  </si>
  <si>
    <t>Other dues</t>
  </si>
  <si>
    <t>City Council travel &amp; training</t>
  </si>
  <si>
    <t>Staff travel &amp; training</t>
  </si>
  <si>
    <t>Transfer to Constr. Acct. for City Hall Improv. Project</t>
  </si>
  <si>
    <t>City Hall Christmas decorations</t>
  </si>
  <si>
    <t>Garbage collection service</t>
  </si>
  <si>
    <t>Roll-off dumpsters</t>
  </si>
  <si>
    <t>Downtown decorations</t>
  </si>
  <si>
    <t>PERSONNEL SCHEDULE</t>
  </si>
  <si>
    <t xml:space="preserve">Employee Position                    </t>
  </si>
  <si>
    <t>Monthly</t>
  </si>
  <si>
    <t>Annual</t>
  </si>
  <si>
    <t>City Manager</t>
  </si>
  <si>
    <t>City Secretary</t>
  </si>
  <si>
    <t xml:space="preserve">Overtime </t>
  </si>
  <si>
    <t>TOTAL</t>
  </si>
  <si>
    <t xml:space="preserve">   Budget 2012-13</t>
  </si>
  <si>
    <t xml:space="preserve">    Budget 2012-13</t>
  </si>
  <si>
    <t>02-Police Dept.</t>
  </si>
  <si>
    <t>2013-14</t>
  </si>
  <si>
    <t>03-Animal Control</t>
  </si>
  <si>
    <t>04-Kenedy VFD</t>
  </si>
  <si>
    <t>06-Street Dept.</t>
  </si>
  <si>
    <t>07-Emergency Management</t>
  </si>
  <si>
    <t>08-Airport</t>
  </si>
  <si>
    <t>09-Library</t>
  </si>
  <si>
    <t>10-Park Dept.</t>
  </si>
  <si>
    <t>11-Municipal Court</t>
  </si>
  <si>
    <t xml:space="preserve">20-Utility </t>
  </si>
  <si>
    <t>61-Utility Admin.</t>
  </si>
  <si>
    <t>20-Utility</t>
  </si>
  <si>
    <t>63-Reverse Osmosis Plant</t>
  </si>
  <si>
    <t>Chief</t>
  </si>
  <si>
    <t>Sergeant</t>
  </si>
  <si>
    <t>Patrol Officer P1</t>
  </si>
  <si>
    <t>Patrol Officer P2</t>
  </si>
  <si>
    <t>Patrol Officer P3</t>
  </si>
  <si>
    <t>Secretary/Dispatcher</t>
  </si>
  <si>
    <t>Overtime</t>
  </si>
  <si>
    <t>Leather goods</t>
  </si>
  <si>
    <t>CESI internet based software subscription</t>
  </si>
  <si>
    <t>TDS computer service</t>
  </si>
  <si>
    <t>Chief's training</t>
  </si>
  <si>
    <t>Ammo</t>
  </si>
  <si>
    <t>LEOSE</t>
  </si>
  <si>
    <t>Animal Control Officer</t>
  </si>
  <si>
    <t>Veterinarian services</t>
  </si>
  <si>
    <t>Dental:  1 @ 24/mon.</t>
  </si>
  <si>
    <t>Life:  1 @ 3/mon.</t>
  </si>
  <si>
    <t xml:space="preserve">Air Evac Ambul. Membership:  1 @ 55/yr. </t>
  </si>
  <si>
    <t>Employee uniforms</t>
  </si>
  <si>
    <t>Other clothing &amp; safety equip.</t>
  </si>
  <si>
    <t>W/C Insur:</t>
  </si>
  <si>
    <t>Food for annual Christmas party</t>
  </si>
  <si>
    <t>AFFF foam for vehicle &amp; oil fires</t>
  </si>
  <si>
    <t xml:space="preserve">Copy machine rent @ $75/mon. </t>
  </si>
  <si>
    <t>Maintenance</t>
  </si>
  <si>
    <t>Blanket volunteer accident policy</t>
  </si>
  <si>
    <t>Veh. Maintenance inspec. by volunteer fireman @ $45/mon.</t>
  </si>
  <si>
    <t>Pest control service @ 50/mon.</t>
  </si>
  <si>
    <t>Pager &amp; radio maintenance &amp; programming</t>
  </si>
  <si>
    <t>Code Compliance Officer</t>
  </si>
  <si>
    <t>Other clothing &amp; safety equipment</t>
  </si>
  <si>
    <t>Civil Engineering plan review</t>
  </si>
  <si>
    <t>Debris removal &amp; strurcture demolition</t>
  </si>
  <si>
    <t>Superintendent</t>
  </si>
  <si>
    <t>Foreman</t>
  </si>
  <si>
    <t>Equipment Operator</t>
  </si>
  <si>
    <t>Dental:  4 @ 24/mon. ea.</t>
  </si>
  <si>
    <t xml:space="preserve">Life:  4 @ 3/mon. ea. </t>
  </si>
  <si>
    <t xml:space="preserve">Air Evac Ambul. Membership:  4 @ 55/yr.  </t>
  </si>
  <si>
    <t>W/C Insur. @ 6.32/100</t>
  </si>
  <si>
    <t>Other clothing &amp; safety gear</t>
  </si>
  <si>
    <t>Herbicide for weed &amp; grass control in streets</t>
  </si>
  <si>
    <t>Other equipment rent</t>
  </si>
  <si>
    <t>Street lights</t>
  </si>
  <si>
    <t>Office electricity</t>
  </si>
  <si>
    <t>Street &amp; pavement maintenance materials</t>
  </si>
  <si>
    <t xml:space="preserve">Escondido Creek maintenance agreement w/ SARA; </t>
  </si>
  <si>
    <t>3 shreadings/yr. @ 2,500 ea.</t>
  </si>
  <si>
    <t>Nichols Creek maintenance agreement w/ SARA</t>
  </si>
  <si>
    <t>Propane</t>
  </si>
  <si>
    <t xml:space="preserve">Aviation General Liability Insur. </t>
  </si>
  <si>
    <t>Runway &amp; Light System Maintenance</t>
  </si>
  <si>
    <t>TxDOT RAMP Contribution</t>
  </si>
  <si>
    <t>Routine Bldg. Maintenance</t>
  </si>
  <si>
    <t>AC/Heating System Maintenance</t>
  </si>
  <si>
    <t>Pesticides &amp; fertilizers</t>
  </si>
  <si>
    <t>Shrubs, plants, &amp; flowers</t>
  </si>
  <si>
    <t>Baseball &amp; Softball field light system maintenance</t>
  </si>
  <si>
    <t xml:space="preserve">Municipal Court Prosecutor  </t>
  </si>
  <si>
    <t>Air Evac Ambul. Membership:  1 @ 55/yr</t>
  </si>
  <si>
    <t xml:space="preserve">Bottled water for office &amp; misc. foods </t>
  </si>
  <si>
    <t>Annual Software maintenance</t>
  </si>
  <si>
    <t xml:space="preserve">State Criminal Costs/Fees collected and forwarded </t>
  </si>
  <si>
    <t>Pest control service @ $125/qrt.</t>
  </si>
  <si>
    <t>Cashier Clerk</t>
  </si>
  <si>
    <t>61-510.03</t>
  </si>
  <si>
    <t>Accounting services</t>
  </si>
  <si>
    <t>Dental:  2 @ 24/mon. ea.</t>
  </si>
  <si>
    <t>Life:  2 @ 3/mon. ea.</t>
  </si>
  <si>
    <t xml:space="preserve">Air Evac Ambul. Membership:  2 @ 55/yr. ea. </t>
  </si>
  <si>
    <t>Utility bills &amp; disconnect notices</t>
  </si>
  <si>
    <t>Badger Meter service agreements</t>
  </si>
  <si>
    <t>Debt Service Transfers:</t>
  </si>
  <si>
    <t>Transfer to General Fund for administrative services</t>
  </si>
  <si>
    <t>TCEQ Brine Permit renewal</t>
  </si>
  <si>
    <t>Rent of WWTP sludge disposal site @ 3,500/qrt.</t>
  </si>
  <si>
    <t>Physical Exams</t>
  </si>
  <si>
    <t>Bridge &amp; Culvert</t>
  </si>
  <si>
    <t>Sidewalks &amp; Curbs</t>
  </si>
  <si>
    <t>Off-Road Equipment</t>
  </si>
  <si>
    <t>Contracted Service</t>
  </si>
  <si>
    <t>Total Misc. Services</t>
  </si>
  <si>
    <t xml:space="preserve">   Industrial Blvd. Proj.</t>
  </si>
  <si>
    <t xml:space="preserve">   Industrial Blvd.</t>
  </si>
  <si>
    <t xml:space="preserve">2013 GO Refunding Bonds </t>
  </si>
  <si>
    <t>2013 GO Ref. Bds.</t>
  </si>
  <si>
    <t>Community Development Dept. No. 05</t>
  </si>
  <si>
    <t>05-Community Develppment</t>
  </si>
  <si>
    <t>05-Community Development</t>
  </si>
  <si>
    <t>Total Community Development</t>
  </si>
  <si>
    <t>Building Official</t>
  </si>
  <si>
    <t>Court Clerk</t>
  </si>
  <si>
    <t>Administrative Assistant</t>
  </si>
  <si>
    <t>Street sweeper rent</t>
  </si>
  <si>
    <t>Manlift rent</t>
  </si>
  <si>
    <t xml:space="preserve">Copy machine rent </t>
  </si>
  <si>
    <t>Employee bonds</t>
  </si>
  <si>
    <t>Compliance and Streets)</t>
  </si>
  <si>
    <t>10.76/hr.</t>
  </si>
  <si>
    <t xml:space="preserve">Part Time Employee (Split between Code </t>
  </si>
  <si>
    <t>2013 GO Refunding Bonds (100% Utility).</t>
  </si>
  <si>
    <t>Office supplies including evidence supplies</t>
  </si>
  <si>
    <t>AT&amp;T office and long distance service</t>
  </si>
  <si>
    <t>Civic Center Proj.-Prof. Servs.</t>
  </si>
  <si>
    <t xml:space="preserve">Civic Center Proj.-Constr. </t>
  </si>
  <si>
    <t>LT Disability @ $0.515 per $100 Covered Payroll</t>
  </si>
  <si>
    <t>Plan review &amp; inspection service</t>
  </si>
  <si>
    <t>Nat'l. Fire Protection Assoc. dues</t>
  </si>
  <si>
    <t>Internat'l. Code Council dues</t>
  </si>
  <si>
    <t>Continuing Education</t>
  </si>
  <si>
    <t>Equipment &amp; Tools</t>
  </si>
  <si>
    <t>Total Capital Outlay-Equip. &amp; Vehicles</t>
  </si>
  <si>
    <t>ACO refresher course &amp; classes</t>
  </si>
  <si>
    <t xml:space="preserve">Copy machine rent @ 100/mon. </t>
  </si>
  <si>
    <t xml:space="preserve">Employee bonus:  </t>
  </si>
  <si>
    <t xml:space="preserve">Employee bonus: </t>
  </si>
  <si>
    <t>Longevity Pay</t>
  </si>
  <si>
    <t xml:space="preserve">   Auditorium Improv. Proj. </t>
  </si>
  <si>
    <t>Total W &amp; S System Improvements</t>
  </si>
  <si>
    <t xml:space="preserve">   General Fund Income   CITY OF KENEDY   </t>
  </si>
  <si>
    <t>Meter Tampering</t>
  </si>
  <si>
    <t>Water &amp; Sewer System Admin. Dept. No. 61</t>
  </si>
  <si>
    <t xml:space="preserve">Food for Meetings </t>
  </si>
  <si>
    <t>Clothing &amp; Uniforms</t>
  </si>
  <si>
    <t>Minor Appartus &amp; Tools</t>
  </si>
  <si>
    <t>Janitorial Supplies</t>
  </si>
  <si>
    <t>Equipment Rental</t>
  </si>
  <si>
    <t>Travel &amp; Lodging</t>
  </si>
  <si>
    <t>Rent &amp; Lease Payments</t>
  </si>
  <si>
    <t>Maintenance Off-Road Equip.</t>
  </si>
  <si>
    <t>Fire Hydrants</t>
  </si>
  <si>
    <t>Water Meters</t>
  </si>
  <si>
    <t>Cap Outlay Off-Road Equip</t>
  </si>
  <si>
    <t>Cap Outlay Cars &amp; Trucks</t>
  </si>
  <si>
    <t>62-510.01</t>
  </si>
  <si>
    <t>Water &amp; Sewage</t>
  </si>
  <si>
    <t>63-510.01</t>
  </si>
  <si>
    <t>W &amp; S Lines</t>
  </si>
  <si>
    <t>Capital Outlay-Bldgs &amp; Structures</t>
  </si>
  <si>
    <t>Capital Outlay Vehicles &amp; Equip.</t>
  </si>
  <si>
    <t>W &amp; S System Opr. &amp; Main. Dept. No. 64</t>
  </si>
  <si>
    <t>64-510.01</t>
  </si>
  <si>
    <t>Water  &amp; Sewer Lines</t>
  </si>
  <si>
    <t>Total Water &amp; Sewer O &amp; M</t>
  </si>
  <si>
    <t>64-W&amp;S Opr. &amp; Main.</t>
  </si>
  <si>
    <t>62-WWTP</t>
  </si>
  <si>
    <t>63-RO Plant</t>
  </si>
  <si>
    <t>W/C Insur. @ 0.27/100</t>
  </si>
  <si>
    <t>W &amp; WW System Superintendent</t>
  </si>
  <si>
    <t>Fire Hose</t>
  </si>
  <si>
    <t>Total Bldg. &amp; Structures</t>
  </si>
  <si>
    <t xml:space="preserve">Furniture &amp; Fixtures  </t>
  </si>
  <si>
    <t>Safety &amp; Protective Services</t>
  </si>
  <si>
    <t>Machinery, Equip. &amp; Water Wells</t>
  </si>
  <si>
    <t>Beverage Machines</t>
  </si>
  <si>
    <t>W &amp; WW System Supt. Auto Allowance @250/mon.</t>
  </si>
  <si>
    <t>________</t>
  </si>
  <si>
    <t>Legal Services &amp; Professional Servs.</t>
  </si>
  <si>
    <t xml:space="preserve">   Mensik Unit</t>
  </si>
  <si>
    <t>HEB Ch. 380 Eco. Development Agreement</t>
  </si>
  <si>
    <t>Prelim. Drainage Study-West Main Street</t>
  </si>
  <si>
    <t>Boots:  5 pair @ 100 each</t>
  </si>
  <si>
    <t>Portable metal equipment storage bldg. at park</t>
  </si>
  <si>
    <t>Safety Boots:  2 at 100 each</t>
  </si>
  <si>
    <t>Municipal Court Judge @ $2,108/mon.</t>
  </si>
  <si>
    <t>Total Buildings &amp; Structures</t>
  </si>
  <si>
    <t>Personnel Policy &amp; Pay Schedule Revision/Update</t>
  </si>
  <si>
    <t xml:space="preserve">Public notices including Door Hangers, Vehicle Tags, </t>
  </si>
  <si>
    <t>Sub-Standard Structure Notices, PR materials, etc.</t>
  </si>
  <si>
    <t>BOAT (Building Officials Assoc. of Texas)</t>
  </si>
  <si>
    <t>Floodplain Mgmt.</t>
  </si>
  <si>
    <t>Code Enforcement Assoc.</t>
  </si>
  <si>
    <t>Keep Texas Beautiful</t>
  </si>
  <si>
    <t>Laptop Computer</t>
  </si>
  <si>
    <t>County Filing Fees for Plats, Re-Plats, etc.</t>
  </si>
  <si>
    <t>Wireless Tabletop Projector</t>
  </si>
  <si>
    <t>Insurance, Bonds, &amp; Notary Fees</t>
  </si>
  <si>
    <t>Machinery, Tools &amp; Implements</t>
  </si>
  <si>
    <t>Collection fees to Perdue, Brandon at $800/mon. avg.</t>
  </si>
  <si>
    <t>Cell phone for Judge</t>
  </si>
  <si>
    <t>Security renovations to entrance foyer &amp; clerk's office</t>
  </si>
  <si>
    <t>Heating &amp; AC Maintenance</t>
  </si>
  <si>
    <t xml:space="preserve">Municipal Court Warrant Prog. </t>
  </si>
  <si>
    <t xml:space="preserve">Clean up &amp; replace exterior landscaping </t>
  </si>
  <si>
    <t>4 Large Dog Cages</t>
  </si>
  <si>
    <t>Insurance, Bonds &amp; Notary Fees</t>
  </si>
  <si>
    <t>Safety gear &amp; misc. clothing</t>
  </si>
  <si>
    <t>Anti-Scallant</t>
  </si>
  <si>
    <t>5-Micron Filters</t>
  </si>
  <si>
    <t>Other Chemicals</t>
  </si>
  <si>
    <t>Regular AT&amp;T serv.</t>
  </si>
  <si>
    <t>Mobile serv.</t>
  </si>
  <si>
    <t>Copy machine rent @ $100/mon.</t>
  </si>
  <si>
    <t>Misc. equipment rent</t>
  </si>
  <si>
    <t>Water samples</t>
  </si>
  <si>
    <t>Routine Plant Maintenance</t>
  </si>
  <si>
    <t>Water Well maintenance</t>
  </si>
  <si>
    <t>Clean RO Trains A &amp; B</t>
  </si>
  <si>
    <t>Clean RO Trains C &amp; D</t>
  </si>
  <si>
    <t>Dues</t>
  </si>
  <si>
    <t>License renewals</t>
  </si>
  <si>
    <t>Continuing Ed for C Water Cert.</t>
  </si>
  <si>
    <t>Secure locker &amp; equipment storage bins</t>
  </si>
  <si>
    <t>Other Projects</t>
  </si>
  <si>
    <t>Automated operation of RO Plant and System</t>
  </si>
  <si>
    <t xml:space="preserve">Electrical grounding and Lightning Protection at Cottonwood </t>
  </si>
  <si>
    <t>Plant and Elevated Water Storage Towers</t>
  </si>
  <si>
    <t>Air cards:  11 @ 50/mon; 600/yr.</t>
  </si>
  <si>
    <t>COPsync fees:  11 officers @ $34.95/mon.; $420/yr.</t>
  </si>
  <si>
    <t>11 officers @ 250/yr.</t>
  </si>
  <si>
    <t>40 oil changes @ $50 ea.</t>
  </si>
  <si>
    <t>Routine maintenance</t>
  </si>
  <si>
    <t>1/2 Annual Financial Audit</t>
  </si>
  <si>
    <t>1/2 City Hall electricity</t>
  </si>
  <si>
    <t xml:space="preserve">Consumer Confidence Reports (CCRs) </t>
  </si>
  <si>
    <t>Heating &amp; AC system</t>
  </si>
  <si>
    <t>1/2 City Hall Heating &amp; AC System maintenance</t>
  </si>
  <si>
    <t xml:space="preserve">Heating &amp; AC System </t>
  </si>
  <si>
    <t>Transfer to General Fund for Admin. Servs.</t>
  </si>
  <si>
    <t>Asst. Operator</t>
  </si>
  <si>
    <t>Engineering Servs.</t>
  </si>
  <si>
    <t>Dental:  3 @ 24/mon. ea.</t>
  </si>
  <si>
    <t>Life: 3 @ 3/mon. ea.</t>
  </si>
  <si>
    <t xml:space="preserve">Air Evac Ambul. Membership:  3 @ 55/yr. ea. </t>
  </si>
  <si>
    <t>SO2</t>
  </si>
  <si>
    <t>Chlorine</t>
  </si>
  <si>
    <t>Sludge Dewatering &amp; Disposal</t>
  </si>
  <si>
    <t>Sampling Fees</t>
  </si>
  <si>
    <t>Regular Serv.</t>
  </si>
  <si>
    <t>Electricity:  WWTP</t>
  </si>
  <si>
    <t>Electricity:  Lift Stations</t>
  </si>
  <si>
    <t>Training &amp; Certification renewals</t>
  </si>
  <si>
    <t>Heating &amp; AC system maintenance</t>
  </si>
  <si>
    <t>Heating &amp; AC System Maintenance</t>
  </si>
  <si>
    <t>Safety equipment, boots, raincoats, etc.</t>
  </si>
  <si>
    <t>Enzymes, degreasers, etc.</t>
  </si>
  <si>
    <t>Travel to Training &amp; Certification classes</t>
  </si>
  <si>
    <t>Annual Water System Permit fee</t>
  </si>
  <si>
    <t>Routine office &amp; warehouse bldg. maintenancee</t>
  </si>
  <si>
    <t>Heating &amp; AC System maintenance</t>
  </si>
  <si>
    <t>Certification training</t>
  </si>
  <si>
    <t>Water Meter repl.</t>
  </si>
  <si>
    <t>Trench Safety Shoring</t>
  </si>
  <si>
    <t>Total W &amp; S System O &amp; M Transfers</t>
  </si>
  <si>
    <t>Certification Pay:</t>
  </si>
  <si>
    <t>W &amp; S Line Replacement/Extensions</t>
  </si>
  <si>
    <t>Dental:  12 @ 24/mon. ea.</t>
  </si>
  <si>
    <t>Life:  12 @ 3/mon. ea.</t>
  </si>
  <si>
    <t xml:space="preserve">Air Evac Ambul. Membership:  12 @ 55/yr. ea. </t>
  </si>
  <si>
    <t>Secretary/Clerk</t>
  </si>
  <si>
    <t>maintenance, etc.</t>
  </si>
  <si>
    <t>W/C Insur: @0.27/100</t>
  </si>
  <si>
    <t>Annual contributionto to Volunteer Firemen</t>
  </si>
  <si>
    <t>Web Site</t>
  </si>
  <si>
    <t>Employee Bonds</t>
  </si>
  <si>
    <t>1/2 AC/Heating system maintenance</t>
  </si>
  <si>
    <t>W &amp; S Line Repl./Exts.</t>
  </si>
  <si>
    <t xml:space="preserve">Increase  </t>
  </si>
  <si>
    <t>DEBT SERVICE</t>
  </si>
  <si>
    <t>TxCDBG Grant 7214251</t>
  </si>
  <si>
    <t>Non-Professional Services</t>
  </si>
  <si>
    <t>Bldg. &amp; Capital Improv. Study Committee allowance</t>
  </si>
  <si>
    <t>Assoc. Judge's position at $500/mon.</t>
  </si>
  <si>
    <t>Muni Court Judge &amp; Assoc. Judge's Training</t>
  </si>
  <si>
    <t>TxCDBG Project</t>
  </si>
  <si>
    <t>Local contribution to TxCDBG Sewer Project</t>
  </si>
  <si>
    <t>00-308.03</t>
  </si>
  <si>
    <t>Kenedy 4B Transfer for Parks &amp; Rec.</t>
  </si>
  <si>
    <t>Transfer to Paving Fund</t>
  </si>
  <si>
    <t>Transfer to Paving Fund @ $8,000/mon.</t>
  </si>
  <si>
    <t>Merit Pay</t>
  </si>
  <si>
    <t>Merit Pay allowance</t>
  </si>
  <si>
    <t>Longevity Pay:  Yrs. of Serv.  X $150/yr.</t>
  </si>
  <si>
    <t>Minor Tools/Rapid Deprec.</t>
  </si>
  <si>
    <t>City Council Travel/Training</t>
  </si>
  <si>
    <t>Bank Fees/Finance Charges</t>
  </si>
  <si>
    <t>Total Equip. &amp; Vehicle Main.                                  *</t>
  </si>
  <si>
    <t>Total Consumable Supplies                              *</t>
  </si>
  <si>
    <t>00-302.06</t>
  </si>
  <si>
    <t>00-302.07</t>
  </si>
  <si>
    <t>Solid Waste Franchise Tax</t>
  </si>
  <si>
    <t>Liquid Waste Disposal Sale</t>
  </si>
  <si>
    <t>Travel Exp Incl. Food &amp; Lodging</t>
  </si>
  <si>
    <t>Other Bldg/Struct Maintenance</t>
  </si>
  <si>
    <t xml:space="preserve">   Hemby A1 Royalty</t>
  </si>
  <si>
    <t xml:space="preserve">   Hemby A2 Royalty</t>
  </si>
  <si>
    <t xml:space="preserve">   Hemby A3 Royalty</t>
  </si>
  <si>
    <t xml:space="preserve">   Hemby B1 Royalty</t>
  </si>
  <si>
    <t xml:space="preserve">   Blackjack Royalty</t>
  </si>
  <si>
    <t xml:space="preserve">   line improvs.</t>
  </si>
  <si>
    <t>Dues &amp; subscriptions</t>
  </si>
  <si>
    <t>Machinery Off-Road Equipment</t>
  </si>
  <si>
    <t>Total Chemical &amp; Medical</t>
  </si>
  <si>
    <t>2015-16</t>
  </si>
  <si>
    <t xml:space="preserve">Tyler Technology Software maintenance:  Split 50/50 between </t>
  </si>
  <si>
    <t>Retired Firemen Pension payments @ $208/mon.</t>
  </si>
  <si>
    <t xml:space="preserve">     Advanced License:  1 @ $1,500 ea.</t>
  </si>
  <si>
    <t>Cell phone allowances 1@ 50/mon.; 1 @ 25/mon</t>
  </si>
  <si>
    <t>Uniforms:  2 empls. @ $1,000/yr.</t>
  </si>
  <si>
    <t>Employee Hosp./Medical:  3 @ 7,928/yr.</t>
  </si>
  <si>
    <t xml:space="preserve">         General &amp; Utility GL maintenance @ 850/yr.</t>
  </si>
  <si>
    <t>Badger Meter read interface @ 750/yr.</t>
  </si>
  <si>
    <t>Cash collection @ 1400/yr.</t>
  </si>
  <si>
    <t>Utility system @ 2900/yr.</t>
  </si>
  <si>
    <t>Payroll/Personnel @ 1900/yr.</t>
  </si>
  <si>
    <t>Basic network @ 900/yr.</t>
  </si>
  <si>
    <t>Core Financial maintenance @ 2800/yr.</t>
  </si>
  <si>
    <t>Receipt printer @ 370/yr.</t>
  </si>
  <si>
    <t>Cash drawer @ 120/yr.</t>
  </si>
  <si>
    <t>Anti Virus @ 250/yr.</t>
  </si>
  <si>
    <t>Repl. Computer</t>
  </si>
  <si>
    <t>2009 CO's Comb. Tax &amp; Rev. (76% Gen. &amp; 24% Utility)</t>
  </si>
  <si>
    <t>AC/Heat System</t>
  </si>
  <si>
    <t>Patrol Officer Det. Cpl.</t>
  </si>
  <si>
    <t>Employee Hosp./Medical:  12 @ 7,928/yr.</t>
  </si>
  <si>
    <t>Dental:  12 @ 24/mon.</t>
  </si>
  <si>
    <t>Life:  12 @ 3/mon.</t>
  </si>
  <si>
    <t xml:space="preserve">Air Evac Ambul. Membership  12 @ 55/yr. </t>
  </si>
  <si>
    <t xml:space="preserve">     Master License: 5 @ $2,000 ea.</t>
  </si>
  <si>
    <t xml:space="preserve">     Intermediate License:  0 @ $1,000 ea.</t>
  </si>
  <si>
    <t>Unif. Cleaning allowance @ $25/mon. per officer (11)</t>
  </si>
  <si>
    <t>12 pairs of boots @ 100 ea.</t>
  </si>
  <si>
    <t>Meals &amp; Food</t>
  </si>
  <si>
    <t>Part-Time Employee</t>
  </si>
  <si>
    <t>Employee Hosp./Medical:  1 @ 7,928/yr.</t>
  </si>
  <si>
    <t>W/C Insur. @ 2.72/100</t>
  </si>
  <si>
    <t>AC/Heating system maintenance in ACO office</t>
  </si>
  <si>
    <t>Part Time Employee</t>
  </si>
  <si>
    <t>Reimbs. To Humane Assoc.</t>
  </si>
  <si>
    <t xml:space="preserve">Repl. bunker gear </t>
  </si>
  <si>
    <t>Telephone &amp; mobile service</t>
  </si>
  <si>
    <t>Voice notification service</t>
  </si>
  <si>
    <t>Heating &amp; cooling system maintenance</t>
  </si>
  <si>
    <t>Employee Hosp./Medical:  4 @ 7,928/yr.</t>
  </si>
  <si>
    <t>Traffic sign repl.</t>
  </si>
  <si>
    <t>1 Speed Hump installation</t>
  </si>
  <si>
    <t>Employee Hosp./Medical:  2 @ 7,928/yr.</t>
  </si>
  <si>
    <t>W/C Insur. @ 2.53/100</t>
  </si>
  <si>
    <t>Employee Bonds:  2 @ $50/yr.</t>
  </si>
  <si>
    <t>Payment Drop Box</t>
  </si>
  <si>
    <t>Muni Court Clerk Training</t>
  </si>
  <si>
    <t>TMCA dues</t>
  </si>
  <si>
    <t xml:space="preserve">Repl. Municipal Judge's computer plus installation </t>
  </si>
  <si>
    <t>Employee Hosp./Medical:  2 @ 7,928/yr..</t>
  </si>
  <si>
    <t>Copy machine rent</t>
  </si>
  <si>
    <t>Postage meteer</t>
  </si>
  <si>
    <t>Property &amp; Casuaslity insur. Coverage</t>
  </si>
  <si>
    <t>between General &amp; Utility</t>
  </si>
  <si>
    <t xml:space="preserve">Tyler Technology Software maintenance:  Split 50/50 </t>
  </si>
  <si>
    <t>GL maintenance @ 850</t>
  </si>
  <si>
    <t>Badger Meter read interface @ 750</t>
  </si>
  <si>
    <t>Cash collection @ 1400</t>
  </si>
  <si>
    <t>Utility system @ 2900</t>
  </si>
  <si>
    <t>Payroll/personnel @ 1900</t>
  </si>
  <si>
    <t>Basic network @ 900</t>
  </si>
  <si>
    <t>Core Financial Maintenance @ 2800</t>
  </si>
  <si>
    <t>Receipt printer @ 370</t>
  </si>
  <si>
    <t>Cash drawer @ 120</t>
  </si>
  <si>
    <t>Anti-Virus @ 250</t>
  </si>
  <si>
    <t>Repl. 2 computers</t>
  </si>
  <si>
    <t>2009 Comb. Tax &amp; Rev. CO's. (76% Gen. &amp; 24% Util.)</t>
  </si>
  <si>
    <t>W/C Insur. @ 3.01/100</t>
  </si>
  <si>
    <t>Caustics, Chlorine, CO2, etc.</t>
  </si>
  <si>
    <t>RO Plant &amp; Well #s 8 and 10</t>
  </si>
  <si>
    <t xml:space="preserve">W Well #s 11, 13, 14 &amp; 15 </t>
  </si>
  <si>
    <t xml:space="preserve">Zero turn mower for Plant, Well &amp; Storage Tank sites </t>
  </si>
  <si>
    <t>3 yr. LP for new F-150 reg. cab PU to repl. 2008 Dodge</t>
  </si>
  <si>
    <t>Off-road equipment</t>
  </si>
  <si>
    <t>Cars &amp; trucks</t>
  </si>
  <si>
    <t>W/C Insur. @ 2.62/100</t>
  </si>
  <si>
    <t>Mobile phone serv.</t>
  </si>
  <si>
    <t>Office &amp; Fax service</t>
  </si>
  <si>
    <t>Copy machine</t>
  </si>
  <si>
    <t xml:space="preserve">Water &amp; Sewer Lines </t>
  </si>
  <si>
    <t xml:space="preserve">Maint. Off-road Equip. </t>
  </si>
  <si>
    <t xml:space="preserve">Maint. Cars &amp; Trucks </t>
  </si>
  <si>
    <t>TWUA dues</t>
  </si>
  <si>
    <t>Repl. FHs @ 2,100 ea.</t>
  </si>
  <si>
    <t>Garage door  &amp; Wall repl./repair</t>
  </si>
  <si>
    <t>Escondido St. Warehouse Roof Repl.</t>
  </si>
  <si>
    <t>Arsenic membrane replacement (Sch. for 2016-17)</t>
  </si>
  <si>
    <t xml:space="preserve">Copy machine @ 150/mon. </t>
  </si>
  <si>
    <t>New kennel &amp; fencing</t>
  </si>
  <si>
    <t>Repl. AC unit</t>
  </si>
  <si>
    <t>Reimbursemenets to Humane Assoc.</t>
  </si>
  <si>
    <t>Bldgs. &amp; Structures</t>
  </si>
  <si>
    <t>Total Bldgs. &amp; Structures</t>
  </si>
  <si>
    <t>Concrete repairs &amp; enlargement:  Well # 8; Chlorine</t>
  </si>
  <si>
    <t>room foundation; Arsorber bldg.; and, Main Plant</t>
  </si>
  <si>
    <t>bldg. entrance</t>
  </si>
  <si>
    <t>Reloc. 2 GS tanks from Pump Station # 1 to RO Plant</t>
  </si>
  <si>
    <t>Relocate GS Tanks</t>
  </si>
  <si>
    <t xml:space="preserve">Total Emergency Mangmt. </t>
  </si>
  <si>
    <t>Legal &amp; other professional servs.</t>
  </si>
  <si>
    <t>Collection Station Opr./Lot Cleaning</t>
  </si>
  <si>
    <t>Legal &amp; Accounting services</t>
  </si>
  <si>
    <t>W/C Insur. @ 2.14/100</t>
  </si>
  <si>
    <t xml:space="preserve">   Container Rent @ 4000/mon.</t>
  </si>
  <si>
    <t xml:space="preserve">   Roll-off container rent &amp; disposal</t>
  </si>
  <si>
    <t>TCEQ WWTP annual permit renewal</t>
  </si>
  <si>
    <t>Fence upgrades (4 yr. project)</t>
  </si>
  <si>
    <t>Ph monitors in 2 Wet Wells</t>
  </si>
  <si>
    <t>Repl. Clarifier # 2 RAS Pump</t>
  </si>
  <si>
    <t>Repl. Clarfier # 4 RAS Pump</t>
  </si>
  <si>
    <t>Add Aeration Blower</t>
  </si>
  <si>
    <t>PH/DO/Conductivity meter</t>
  </si>
  <si>
    <t>Rehab. School Street Lift Station</t>
  </si>
  <si>
    <t>Sludge Bed rehab.</t>
  </si>
  <si>
    <t>Complete Re-Codification of City's Code of Ords.</t>
  </si>
  <si>
    <t xml:space="preserve">              REVENUE</t>
  </si>
  <si>
    <t xml:space="preserve">              EXPENSE</t>
  </si>
  <si>
    <t>RO Plant: Upgrade PLC system</t>
  </si>
  <si>
    <t xml:space="preserve">Employee bonus (Christmas Dinner)  </t>
  </si>
  <si>
    <t>AWOS 75% TxDOT Reimbursement</t>
  </si>
  <si>
    <t xml:space="preserve">  CIP Fund</t>
  </si>
  <si>
    <t>12 @ 1,000/yr.</t>
  </si>
  <si>
    <t>Other phone line rental/service</t>
  </si>
  <si>
    <t xml:space="preserve">        General Fund (60.09 %)</t>
  </si>
  <si>
    <t xml:space="preserve">        Utility Fund (39.91 %)</t>
  </si>
  <si>
    <t>Veterinarian services for Parvo, Kennel</t>
  </si>
  <si>
    <t>Cough, etc. vacinations</t>
  </si>
  <si>
    <t xml:space="preserve">Radio System  </t>
  </si>
  <si>
    <t xml:space="preserve">                  $36,186 @ 0.27/100</t>
  </si>
  <si>
    <t>W/C Insur:  $579,662 @ 2.30/100</t>
  </si>
  <si>
    <t>Certification/Merit Pay</t>
  </si>
  <si>
    <t xml:space="preserve">   Kenedy 4B Corp. Contribution</t>
  </si>
  <si>
    <t>Budget 2016-17</t>
  </si>
  <si>
    <t>Proposed</t>
  </si>
  <si>
    <t>.</t>
  </si>
  <si>
    <t>2016-17</t>
  </si>
  <si>
    <t>00-308.10</t>
  </si>
  <si>
    <t>4B Corp Contigency Reimbursements</t>
  </si>
  <si>
    <t xml:space="preserve">   Interest Income</t>
  </si>
  <si>
    <t xml:space="preserve">   Hemby A4, A5, A6 Etc. Royalty</t>
  </si>
  <si>
    <t xml:space="preserve">   Marathon 2017 Lease </t>
  </si>
  <si>
    <t>Actual 5/31/17</t>
  </si>
  <si>
    <t xml:space="preserve"> Estimated</t>
  </si>
  <si>
    <t>Budget 2017-18</t>
  </si>
  <si>
    <t>2016 Bonds</t>
  </si>
  <si>
    <t>2017-2018</t>
  </si>
  <si>
    <t>TMRS Retirement @ 5.02%</t>
  </si>
  <si>
    <t>Custodial service @ 1175/mon.</t>
  </si>
  <si>
    <t>budget</t>
  </si>
  <si>
    <t>W Well #___________</t>
  </si>
  <si>
    <t xml:space="preserve">TMRS Retirement @ 5.02% </t>
  </si>
  <si>
    <t xml:space="preserve"> Proposed</t>
  </si>
  <si>
    <t>2016 Bond</t>
  </si>
  <si>
    <t>?</t>
  </si>
  <si>
    <t>Yr. 4 L/P payment on 2014 Ford F-150 PU</t>
  </si>
  <si>
    <t>4 yr. L/P agreement for small tractor/shreder for lot</t>
  </si>
  <si>
    <t>Director of Public Works</t>
  </si>
  <si>
    <t>Part-time Employees (2)</t>
  </si>
  <si>
    <t>(reimb. 50% by 4B Corp)</t>
  </si>
  <si>
    <t>Wegner</t>
  </si>
  <si>
    <t>Salinas</t>
  </si>
  <si>
    <t>Collection Station Waste Disposal</t>
  </si>
  <si>
    <t>Part-time salaries</t>
  </si>
  <si>
    <t>Cars &amp; Trucks Maintenance</t>
  </si>
  <si>
    <t>TXCDBG 2016 Grant</t>
  </si>
  <si>
    <t>TxCDBG 2016 Grant</t>
  </si>
  <si>
    <t>RO: Well #s 8,10 &amp; 14 Improvements</t>
  </si>
  <si>
    <t>RO: Arsenic Unit #2 -Eng.</t>
  </si>
  <si>
    <t>RO: SCADA System Phase 1</t>
  </si>
  <si>
    <t>RO: SCADA System Phase 2</t>
  </si>
  <si>
    <t>RO: Train C Pre Booster Pump D repl</t>
  </si>
  <si>
    <t>RO: Brine Water Discharge Lift Station</t>
  </si>
  <si>
    <t xml:space="preserve">  AWOS (75/25)</t>
  </si>
  <si>
    <t xml:space="preserve">  TXDOT 2017 CIP Proj Local Contrib</t>
  </si>
  <si>
    <t>Total Airport Improv. Projs</t>
  </si>
  <si>
    <t>00-308.11</t>
  </si>
  <si>
    <t>Ramp Grant Revenue</t>
  </si>
  <si>
    <t>00-310-07</t>
  </si>
  <si>
    <t>Loan Proceeds</t>
  </si>
  <si>
    <t>Machinery/Tools/Implements</t>
  </si>
  <si>
    <t>Meals, Meetings &amp; Events</t>
  </si>
  <si>
    <t>Supplies Unique to Dept</t>
  </si>
  <si>
    <t>Off-road Equip Maint</t>
  </si>
  <si>
    <t>Misc. food supplies/ Meals, Meetings &amp; Events</t>
  </si>
  <si>
    <t>Other Maint.</t>
  </si>
  <si>
    <t>Contigency</t>
  </si>
  <si>
    <t>Total Contigency</t>
  </si>
  <si>
    <t>Solid Waste Collection Ser</t>
  </si>
  <si>
    <t>Meals, Meetings &amp; Spec. Events</t>
  </si>
  <si>
    <t>30-30-670.10</t>
  </si>
  <si>
    <t>TIRZ 2</t>
  </si>
  <si>
    <t>TIRZ Advalorem tax - Escondido WS</t>
  </si>
  <si>
    <t>TIRZ Advalorem tax - Karnes County</t>
  </si>
  <si>
    <t>TIRZ Advalorem tax-SARA</t>
  </si>
  <si>
    <t>TIRZ Advalorem tax-Otto Kaiser</t>
  </si>
  <si>
    <t>TIRZ Advalorem tax-City of Kenedy</t>
  </si>
  <si>
    <t xml:space="preserve">Total                               </t>
  </si>
  <si>
    <t>TIRZ Misc Exp</t>
  </si>
  <si>
    <t>TIRZ Reimb. To Developer</t>
  </si>
  <si>
    <t>2017 Tax &amp; Rev. CO's</t>
  </si>
  <si>
    <t>2017 Bonds</t>
  </si>
  <si>
    <t xml:space="preserve">  </t>
  </si>
  <si>
    <t xml:space="preserve">TxCDBG Grant </t>
  </si>
  <si>
    <t>2016 CO Bond Construction Fund</t>
  </si>
  <si>
    <t xml:space="preserve">   2016 Bond Proceeds</t>
  </si>
  <si>
    <t xml:space="preserve">   Miscellaneous Income</t>
  </si>
  <si>
    <t xml:space="preserve">      </t>
  </si>
  <si>
    <t>East Main Drainage Improvements</t>
  </si>
  <si>
    <t xml:space="preserve">   Legal &amp; Professional Services</t>
  </si>
  <si>
    <t xml:space="preserve">   Construction Costs</t>
  </si>
  <si>
    <t xml:space="preserve">   Other Fees</t>
  </si>
  <si>
    <t>Arsenic Adsorber #2</t>
  </si>
  <si>
    <t xml:space="preserve">   Total East Main Drainage Improve.</t>
  </si>
  <si>
    <t xml:space="preserve">   Total Arsenic Adsorber</t>
  </si>
  <si>
    <t>FM 743 Water Line Improvements</t>
  </si>
  <si>
    <t xml:space="preserve">   Total FM743 Water Line Improve.</t>
  </si>
  <si>
    <t>Projected</t>
  </si>
  <si>
    <t xml:space="preserve">  Airport Proj Prof. Serv Sur.</t>
  </si>
  <si>
    <t>Airport Imp Proj-Land Acq.</t>
  </si>
  <si>
    <t>370.20</t>
  </si>
  <si>
    <t>Total Professional services</t>
  </si>
  <si>
    <t>Minor Tools</t>
  </si>
  <si>
    <t>Comm. Telephone/Internet</t>
  </si>
  <si>
    <t>2017/2018</t>
  </si>
  <si>
    <t>Casanova</t>
  </si>
  <si>
    <t>Det. Sergeant</t>
  </si>
  <si>
    <t>Barrientez</t>
  </si>
  <si>
    <t>Elizondo</t>
  </si>
  <si>
    <t>Petitlis</t>
  </si>
  <si>
    <t>Castillo</t>
  </si>
  <si>
    <t>Rodriguez</t>
  </si>
  <si>
    <t>Mercado</t>
  </si>
  <si>
    <t>Maldonado</t>
  </si>
  <si>
    <t>Garcia</t>
  </si>
  <si>
    <t>Martinez</t>
  </si>
  <si>
    <t>Venecia</t>
  </si>
  <si>
    <t>DuBose</t>
  </si>
  <si>
    <t>Overtime 5%</t>
  </si>
  <si>
    <t xml:space="preserve">Annual </t>
  </si>
  <si>
    <t>New Patrol Officer**</t>
  </si>
  <si>
    <t>Subtotal</t>
  </si>
  <si>
    <t>** Proposed new full-time patrol officer</t>
  </si>
  <si>
    <t>25 sets repl. Uniforms @ 100 ea.</t>
  </si>
  <si>
    <t>Gasoline</t>
  </si>
  <si>
    <t>Purcase 3 new office chairs @$150</t>
  </si>
  <si>
    <t>Unit maintenance</t>
  </si>
  <si>
    <t>5 sets new tires for old units @ $500 ea.</t>
  </si>
  <si>
    <t>Furnituer &amp; fixtures</t>
  </si>
  <si>
    <t>Install 8 new video equipment in new units</t>
  </si>
  <si>
    <t>Install new video server computer</t>
  </si>
  <si>
    <t xml:space="preserve">Yr. 3 L/P payment on 4 2016 Ford Police </t>
  </si>
  <si>
    <t xml:space="preserve">Yr. 3 L/P payment on 1 2016 Ford Police Vehicles </t>
  </si>
  <si>
    <t>Prososed</t>
  </si>
  <si>
    <t>junk col.</t>
  </si>
  <si>
    <t>delete</t>
  </si>
  <si>
    <t>2017-18</t>
  </si>
  <si>
    <t>12-510.01</t>
  </si>
  <si>
    <t>New Commercial riding mower</t>
  </si>
  <si>
    <t xml:space="preserve">Chemical </t>
  </si>
  <si>
    <t>Medical supplies</t>
  </si>
  <si>
    <t>2016 Comb. Tax &amp; Rev CO</t>
  </si>
  <si>
    <t>2016 Combo Tax &amp; Rev Certif of Obligation</t>
  </si>
  <si>
    <t xml:space="preserve">2017 Cert of Ob &amp; WWS </t>
  </si>
  <si>
    <t>Rent &amp; Lease Pmts</t>
  </si>
  <si>
    <t>(Celaya, Smart &amp; Johnston families - well testing land rent)</t>
  </si>
  <si>
    <t>(for 2018 1/3 street,water,sewer)</t>
  </si>
  <si>
    <t>Foreman -Vasquez</t>
  </si>
  <si>
    <t>(for 2018 1/3 street,2/3 water,sewer)</t>
  </si>
  <si>
    <t xml:space="preserve">Crew Member - </t>
  </si>
  <si>
    <t>Office Clerk</t>
  </si>
  <si>
    <t>Crew Foreman</t>
  </si>
  <si>
    <t>L. Gonzales</t>
  </si>
  <si>
    <t>A.Bryan</t>
  </si>
  <si>
    <t>J Gonzales</t>
  </si>
  <si>
    <t>J Cruz</t>
  </si>
  <si>
    <t>Vasques</t>
  </si>
  <si>
    <t>C Bryan</t>
  </si>
  <si>
    <t>E Quint</t>
  </si>
  <si>
    <t>Perez</t>
  </si>
  <si>
    <t>Trevino</t>
  </si>
  <si>
    <t>Crew Member</t>
  </si>
  <si>
    <t xml:space="preserve">Crew Member </t>
  </si>
  <si>
    <t>6" Cast Iron WaterMainHwy181</t>
  </si>
  <si>
    <t>Machinery &amp; Equipment -Pump motors</t>
  </si>
  <si>
    <t>Routine bldg. maintenance -Counter top/Commode</t>
  </si>
  <si>
    <t>Yr. 2 of 3 yr. L/P forr F-150 1/2 ton PU</t>
  </si>
  <si>
    <t xml:space="preserve">   Disposal </t>
  </si>
  <si>
    <t>Mobile Phones (req. 2 more phones)</t>
  </si>
  <si>
    <t>Lead Foreman/Operator (New Position)</t>
  </si>
  <si>
    <t>12-Code Compliance</t>
  </si>
  <si>
    <t>Events</t>
  </si>
  <si>
    <t>Gasoline, Diesel &amp; Lubricants</t>
  </si>
  <si>
    <t>Travel, Meetings, Meals &amp; Training</t>
  </si>
  <si>
    <t>Lot Clearing &amp; Debris Removal</t>
  </si>
  <si>
    <t>Life:  1 @ 3/mon</t>
  </si>
  <si>
    <t>Uniforms: 1 @ 850/yr.</t>
  </si>
  <si>
    <t>City Council 5 @ 150/mon.; Mayor@$300/mo.</t>
  </si>
  <si>
    <t xml:space="preserve">Air Evac Ambul. Membership:  2 @ 55/yr. </t>
  </si>
  <si>
    <t>2017 Bond (Paid by Waterworks &amp; Sewer)</t>
  </si>
  <si>
    <t xml:space="preserve">Karnes County Appr. Dist. </t>
  </si>
  <si>
    <t>Small furniture &amp; fixtures</t>
  </si>
  <si>
    <t>Misc</t>
  </si>
  <si>
    <t>Total Code Compliance Div 12</t>
  </si>
  <si>
    <t>Air pack inspec. &amp; maintenance</t>
  </si>
  <si>
    <t>Fire Truck monthly pmt $2727/mo</t>
  </si>
  <si>
    <t>Herbicide</t>
  </si>
  <si>
    <t>3 yr.(FINAL) LP Skid Steer Bobcat Loader</t>
  </si>
  <si>
    <t>Certification Pay  (Water/Wastewater License)</t>
  </si>
  <si>
    <t>Excavator (3 yr payout)</t>
  </si>
  <si>
    <t>Off road Equipment (as needed)</t>
  </si>
  <si>
    <t>CSI training/meter training</t>
  </si>
  <si>
    <t>to Texas Comptroller; est. @ $11,500/qrt.</t>
  </si>
  <si>
    <t>City Hall - Improvements</t>
  </si>
  <si>
    <t>WWS Professional Services</t>
  </si>
  <si>
    <t>W &amp; S Line Ext/Upgrades</t>
  </si>
  <si>
    <t>Water Well 16 Improvements</t>
  </si>
  <si>
    <t>Rehab. 2 Sludge Drying Beds</t>
  </si>
  <si>
    <t>Close &amp; Abandon W Wells 3,4,9</t>
  </si>
  <si>
    <t>Replace 2 Aeration Basin Mixers</t>
  </si>
  <si>
    <t>Upgrade SO2 &amp; CL2 Systems</t>
  </si>
  <si>
    <t xml:space="preserve">FM 719 Water Storage Proj. </t>
  </si>
  <si>
    <t>Well Upgrades - 11,13,16</t>
  </si>
  <si>
    <t xml:space="preserve"> Water Well 17</t>
  </si>
  <si>
    <t>Holchak Field Lights (pd off in 2017)</t>
  </si>
  <si>
    <t>Backwash Water Tank</t>
  </si>
  <si>
    <t>NewBldg/Lab/Office&amp; Fence</t>
  </si>
  <si>
    <t>Emergency Generator</t>
  </si>
  <si>
    <t>HiServ Pumps/VFD_Panel/Valves/Pipes</t>
  </si>
  <si>
    <t xml:space="preserve">   Young/Kenedy Corp Units</t>
  </si>
  <si>
    <t>Merit Pay/Certification Pay</t>
  </si>
  <si>
    <t>Transfer to Paving Fund @ 41,667/mon.</t>
  </si>
  <si>
    <t>Transfers to Capital Impr. Fd</t>
  </si>
  <si>
    <t>Transfers from Water &amp; Sewer Fd</t>
  </si>
  <si>
    <t>Water Cap. Improvements</t>
  </si>
  <si>
    <t>Sewer Cap. Improvements</t>
  </si>
  <si>
    <t>Total WWTP Div 62</t>
  </si>
  <si>
    <t>Code Compliance No12 (prior yr incl. w/div5)</t>
  </si>
  <si>
    <t>00-307.07</t>
  </si>
  <si>
    <t>Civic Center</t>
  </si>
  <si>
    <t>C. Cortez</t>
  </si>
  <si>
    <t>R Rodriguez</t>
  </si>
  <si>
    <t>Warehouse Attendant</t>
  </si>
  <si>
    <t>Maintenance Worker</t>
  </si>
  <si>
    <t xml:space="preserve">Dental:  3@ 24/mon.  </t>
  </si>
  <si>
    <t>Life:  3 @ 3/mon.</t>
  </si>
  <si>
    <t>Materials/supplies for maintenance full-time position</t>
  </si>
  <si>
    <t>W Stor Tank Rehab-Suez/Util Serv</t>
  </si>
  <si>
    <t>Dist System Manager</t>
  </si>
  <si>
    <t>A. Santos</t>
  </si>
  <si>
    <t>Yr. 3 of 3 yr. L/P F-250 ext. cab PU</t>
  </si>
  <si>
    <t>Yr. 3 of 3 yr. L/P F-750 Dump Truck</t>
  </si>
  <si>
    <t>Yr. 3 of 3 yr. L/P F-350 Service Body PU due 1/29/18</t>
  </si>
  <si>
    <t>Yr. 3 of 3 yr. L/P on F-250 Super Cab PU payoff 1/29/18</t>
  </si>
  <si>
    <t xml:space="preserve">Yr. 3 L/P payment on 2015 F-150 PU to </t>
  </si>
  <si>
    <t>repl. 2005 Ford Taurus  (pay off 1/29/18)</t>
  </si>
  <si>
    <t>Fire Grant - Marathon</t>
  </si>
  <si>
    <t>City Secretary cell phone allowance@50/mon.</t>
  </si>
  <si>
    <t>City council cell phone allowance $50/mo  *5</t>
  </si>
  <si>
    <t xml:space="preserve">Disaster expenses </t>
  </si>
  <si>
    <t>Capital Outlay for New Equipment (Grant reimbursed)</t>
  </si>
  <si>
    <t>City Council cell phone/Ipads</t>
  </si>
  <si>
    <t xml:space="preserve">Amended </t>
  </si>
  <si>
    <t>Budget</t>
  </si>
  <si>
    <t>Amended</t>
  </si>
  <si>
    <t>Estimated</t>
  </si>
  <si>
    <t>Actual 05/31/2017</t>
  </si>
  <si>
    <t xml:space="preserve">Total Misc. Servs.                                </t>
  </si>
  <si>
    <t xml:space="preserve">                                                                         </t>
  </si>
  <si>
    <t xml:space="preserve">Total Water &amp; Sewer System Admin. </t>
  </si>
  <si>
    <t>Transfer to Capital Impr. Fd</t>
  </si>
  <si>
    <t>PAVING FUND</t>
  </si>
  <si>
    <t>EXPENSE</t>
  </si>
  <si>
    <t xml:space="preserve">Total                                           </t>
  </si>
  <si>
    <t>Manlift Purchase (1/2 cost)</t>
  </si>
  <si>
    <t>Escavator</t>
  </si>
  <si>
    <t>Criminal Investigative Exams</t>
  </si>
  <si>
    <r>
      <t xml:space="preserve"> </t>
    </r>
    <r>
      <rPr>
        <b/>
        <sz val="10"/>
        <rFont val="Arial"/>
        <family val="2"/>
      </rPr>
      <t>Est. 9/30/17</t>
    </r>
  </si>
  <si>
    <r>
      <t xml:space="preserve"> </t>
    </r>
    <r>
      <rPr>
        <b/>
        <sz val="10"/>
        <rFont val="Arial"/>
        <family val="2"/>
      </rPr>
      <t>GRANT FUNDS</t>
    </r>
  </si>
  <si>
    <r>
      <t xml:space="preserve">                                   </t>
    </r>
    <r>
      <rPr>
        <b/>
        <sz val="10"/>
        <rFont val="Arial"/>
        <family val="2"/>
      </rPr>
      <t>2013-14 Debt Service Requirements</t>
    </r>
  </si>
  <si>
    <t>Adopted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</si>
</sst>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</font>
    <font>
      <sz val="8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Alignment="1">
      <alignment horizontal="left"/>
    </xf>
    <xf numFmtId="2" fontId="3" fillId="0" borderId="0" xfId="0" applyNumberFormat="1" applyFont="1" applyFill="1"/>
    <xf numFmtId="2" fontId="3" fillId="0" borderId="0" xfId="0" applyNumberFormat="1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6" fillId="0" borderId="0" xfId="0" applyNumberFormat="1" applyFont="1"/>
    <xf numFmtId="3" fontId="7" fillId="0" borderId="0" xfId="0" applyNumberFormat="1" applyFont="1"/>
    <xf numFmtId="2" fontId="6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/>
    <xf numFmtId="0" fontId="10" fillId="0" borderId="0" xfId="0" applyFont="1"/>
    <xf numFmtId="3" fontId="10" fillId="0" borderId="0" xfId="0" applyNumberFormat="1" applyFont="1"/>
    <xf numFmtId="2" fontId="10" fillId="0" borderId="0" xfId="0" applyNumberFormat="1" applyFont="1"/>
    <xf numFmtId="3" fontId="11" fillId="0" borderId="0" xfId="0" applyNumberFormat="1" applyFon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/>
    <xf numFmtId="0" fontId="11" fillId="0" borderId="0" xfId="0" applyFont="1" applyAlignment="1">
      <alignment horizontal="left"/>
    </xf>
    <xf numFmtId="165" fontId="10" fillId="0" borderId="0" xfId="0" applyNumberFormat="1" applyFont="1"/>
    <xf numFmtId="0" fontId="12" fillId="0" borderId="0" xfId="0" applyNumberFormat="1" applyFont="1"/>
    <xf numFmtId="0" fontId="13" fillId="0" borderId="0" xfId="0" applyFont="1"/>
    <xf numFmtId="3" fontId="13" fillId="0" borderId="0" xfId="0" applyNumberFormat="1" applyFont="1"/>
    <xf numFmtId="2" fontId="11" fillId="0" borderId="0" xfId="0" applyNumberFormat="1" applyFont="1"/>
    <xf numFmtId="165" fontId="13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0" fillId="4" borderId="0" xfId="0" applyNumberFormat="1" applyFill="1"/>
    <xf numFmtId="165" fontId="1" fillId="0" borderId="0" xfId="0" applyNumberFormat="1" applyFont="1"/>
    <xf numFmtId="3" fontId="10" fillId="0" borderId="0" xfId="0" applyNumberFormat="1" applyFont="1" applyFill="1"/>
    <xf numFmtId="3" fontId="11" fillId="0" borderId="0" xfId="0" applyNumberFormat="1" applyFont="1" applyFill="1"/>
    <xf numFmtId="165" fontId="0" fillId="0" borderId="0" xfId="0" applyNumberFormat="1" applyFill="1"/>
    <xf numFmtId="165" fontId="3" fillId="0" borderId="0" xfId="0" applyNumberFormat="1" applyFont="1" applyFill="1"/>
    <xf numFmtId="165" fontId="2" fillId="0" borderId="0" xfId="0" applyNumberFormat="1" applyFont="1"/>
    <xf numFmtId="165" fontId="3" fillId="0" borderId="0" xfId="0" applyNumberFormat="1" applyFont="1" applyFill="1" applyAlignment="1">
      <alignment horizontal="right"/>
    </xf>
    <xf numFmtId="0" fontId="10" fillId="0" borderId="0" xfId="0" applyFont="1" applyFill="1"/>
    <xf numFmtId="2" fontId="11" fillId="0" borderId="0" xfId="0" applyNumberFormat="1" applyFont="1" applyFill="1"/>
    <xf numFmtId="2" fontId="10" fillId="0" borderId="0" xfId="0" applyNumberFormat="1" applyFont="1" applyFill="1"/>
    <xf numFmtId="165" fontId="12" fillId="0" borderId="0" xfId="0" applyNumberFormat="1" applyFont="1" applyFill="1"/>
    <xf numFmtId="165" fontId="13" fillId="0" borderId="0" xfId="0" applyNumberFormat="1" applyFont="1" applyFill="1"/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1" fillId="0" borderId="0" xfId="0" applyNumberFormat="1" applyFont="1" applyAlignment="1">
      <alignment horizontal="right"/>
    </xf>
    <xf numFmtId="0" fontId="6" fillId="5" borderId="0" xfId="0" applyFont="1" applyFill="1"/>
    <xf numFmtId="3" fontId="6" fillId="5" borderId="0" xfId="0" applyNumberFormat="1" applyFont="1" applyFill="1"/>
    <xf numFmtId="14" fontId="6" fillId="0" borderId="0" xfId="0" applyNumberFormat="1" applyFont="1"/>
    <xf numFmtId="14" fontId="0" fillId="0" borderId="0" xfId="0" applyNumberFormat="1"/>
    <xf numFmtId="0" fontId="1" fillId="0" borderId="2" xfId="0" applyFont="1" applyBorder="1"/>
    <xf numFmtId="0" fontId="6" fillId="0" borderId="0" xfId="0" applyFont="1" applyAlignment="1">
      <alignment horizontal="center"/>
    </xf>
    <xf numFmtId="0" fontId="0" fillId="0" borderId="2" xfId="0" applyBorder="1"/>
    <xf numFmtId="3" fontId="12" fillId="0" borderId="2" xfId="0" applyNumberFormat="1" applyFont="1" applyBorder="1"/>
    <xf numFmtId="0" fontId="0" fillId="0" borderId="0" xfId="0" applyAlignment="1">
      <alignment horizontal="center"/>
    </xf>
    <xf numFmtId="0" fontId="16" fillId="0" borderId="0" xfId="0" applyFont="1"/>
    <xf numFmtId="3" fontId="10" fillId="0" borderId="4" xfId="0" applyNumberFormat="1" applyFont="1" applyBorder="1"/>
    <xf numFmtId="165" fontId="0" fillId="0" borderId="4" xfId="0" applyNumberFormat="1" applyBorder="1" applyAlignment="1">
      <alignment horizontal="right"/>
    </xf>
    <xf numFmtId="3" fontId="0" fillId="0" borderId="4" xfId="0" applyNumberFormat="1" applyBorder="1"/>
    <xf numFmtId="165" fontId="0" fillId="0" borderId="2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/>
    <xf numFmtId="165" fontId="0" fillId="5" borderId="0" xfId="0" applyNumberFormat="1" applyFill="1"/>
    <xf numFmtId="3" fontId="6" fillId="0" borderId="0" xfId="0" applyNumberFormat="1" applyFont="1" applyFill="1"/>
    <xf numFmtId="165" fontId="12" fillId="0" borderId="2" xfId="0" applyNumberFormat="1" applyFont="1" applyBorder="1"/>
    <xf numFmtId="3" fontId="9" fillId="0" borderId="0" xfId="0" quotePrefix="1" applyNumberFormat="1" applyFont="1" applyBorder="1"/>
    <xf numFmtId="0" fontId="9" fillId="0" borderId="0" xfId="0" applyFont="1" applyBorder="1" applyAlignment="1">
      <alignment horizontal="center"/>
    </xf>
    <xf numFmtId="0" fontId="17" fillId="0" borderId="0" xfId="0" applyFont="1"/>
    <xf numFmtId="3" fontId="0" fillId="0" borderId="0" xfId="0" applyNumberFormat="1" applyFill="1"/>
    <xf numFmtId="3" fontId="1" fillId="0" borderId="0" xfId="0" applyNumberFormat="1" applyFont="1" applyFill="1"/>
    <xf numFmtId="3" fontId="1" fillId="0" borderId="0" xfId="0" quotePrefix="1" applyNumberFormat="1" applyFont="1" applyFill="1"/>
    <xf numFmtId="3" fontId="9" fillId="0" borderId="0" xfId="0" applyNumberFormat="1" applyFont="1" applyFill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5" fontId="0" fillId="0" borderId="4" xfId="0" applyNumberForma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right"/>
    </xf>
    <xf numFmtId="0" fontId="18" fillId="0" borderId="0" xfId="0" applyFont="1"/>
    <xf numFmtId="0" fontId="19" fillId="6" borderId="0" xfId="0" applyFont="1" applyFill="1"/>
    <xf numFmtId="0" fontId="20" fillId="0" borderId="0" xfId="0" applyFont="1"/>
    <xf numFmtId="0" fontId="20" fillId="7" borderId="11" xfId="0" applyFont="1" applyFill="1" applyBorder="1" applyAlignment="1">
      <alignment horizontal="center"/>
    </xf>
    <xf numFmtId="0" fontId="21" fillId="7" borderId="11" xfId="0" applyFont="1" applyFill="1" applyBorder="1"/>
    <xf numFmtId="0" fontId="21" fillId="7" borderId="11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21" fillId="7" borderId="8" xfId="0" applyFont="1" applyFill="1" applyBorder="1"/>
    <xf numFmtId="0" fontId="21" fillId="7" borderId="2" xfId="0" applyFont="1" applyFill="1" applyBorder="1"/>
    <xf numFmtId="0" fontId="21" fillId="7" borderId="12" xfId="0" applyFont="1" applyFill="1" applyBorder="1" applyAlignment="1">
      <alignment horizontal="center"/>
    </xf>
    <xf numFmtId="14" fontId="20" fillId="7" borderId="12" xfId="0" applyNumberFormat="1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0" borderId="11" xfId="0" applyFont="1" applyBorder="1"/>
    <xf numFmtId="0" fontId="20" fillId="0" borderId="1" xfId="0" applyFont="1" applyBorder="1"/>
    <xf numFmtId="8" fontId="20" fillId="0" borderId="1" xfId="0" applyNumberFormat="1" applyFont="1" applyBorder="1"/>
    <xf numFmtId="164" fontId="20" fillId="0" borderId="1" xfId="0" applyNumberFormat="1" applyFont="1" applyBorder="1"/>
    <xf numFmtId="165" fontId="20" fillId="0" borderId="11" xfId="0" applyNumberFormat="1" applyFont="1" applyFill="1" applyBorder="1"/>
    <xf numFmtId="165" fontId="20" fillId="0" borderId="11" xfId="0" applyNumberFormat="1" applyFont="1" applyBorder="1"/>
    <xf numFmtId="165" fontId="20" fillId="0" borderId="7" xfId="0" applyNumberFormat="1" applyFont="1" applyFill="1" applyBorder="1"/>
    <xf numFmtId="0" fontId="22" fillId="0" borderId="0" xfId="0" applyFont="1"/>
    <xf numFmtId="0" fontId="20" fillId="0" borderId="13" xfId="0" applyFont="1" applyBorder="1"/>
    <xf numFmtId="0" fontId="20" fillId="0" borderId="0" xfId="0" applyFont="1" applyBorder="1"/>
    <xf numFmtId="8" fontId="20" fillId="0" borderId="0" xfId="0" applyNumberFormat="1" applyFont="1" applyBorder="1"/>
    <xf numFmtId="164" fontId="20" fillId="0" borderId="0" xfId="0" applyNumberFormat="1" applyFont="1" applyBorder="1"/>
    <xf numFmtId="165" fontId="20" fillId="0" borderId="13" xfId="0" applyNumberFormat="1" applyFont="1" applyBorder="1"/>
    <xf numFmtId="165" fontId="20" fillId="0" borderId="13" xfId="0" applyNumberFormat="1" applyFont="1" applyFill="1" applyBorder="1"/>
    <xf numFmtId="165" fontId="20" fillId="0" borderId="10" xfId="0" applyNumberFormat="1" applyFont="1" applyFill="1" applyBorder="1"/>
    <xf numFmtId="165" fontId="20" fillId="0" borderId="10" xfId="0" applyNumberFormat="1" applyFont="1" applyBorder="1"/>
    <xf numFmtId="8" fontId="20" fillId="0" borderId="0" xfId="0" applyNumberFormat="1" applyFont="1" applyBorder="1" applyAlignment="1">
      <alignment horizontal="right"/>
    </xf>
    <xf numFmtId="0" fontId="20" fillId="0" borderId="12" xfId="0" applyFont="1" applyBorder="1"/>
    <xf numFmtId="0" fontId="20" fillId="0" borderId="2" xfId="0" applyFont="1" applyBorder="1"/>
    <xf numFmtId="8" fontId="20" fillId="0" borderId="2" xfId="0" applyNumberFormat="1" applyFont="1" applyBorder="1"/>
    <xf numFmtId="164" fontId="20" fillId="0" borderId="2" xfId="0" applyNumberFormat="1" applyFont="1" applyBorder="1"/>
    <xf numFmtId="165" fontId="20" fillId="0" borderId="12" xfId="0" applyNumberFormat="1" applyFont="1" applyBorder="1"/>
    <xf numFmtId="165" fontId="18" fillId="0" borderId="12" xfId="0" applyNumberFormat="1" applyFont="1" applyBorder="1"/>
    <xf numFmtId="165" fontId="20" fillId="0" borderId="9" xfId="0" applyNumberFormat="1" applyFont="1" applyBorder="1"/>
    <xf numFmtId="0" fontId="20" fillId="0" borderId="18" xfId="0" applyFont="1" applyBorder="1"/>
    <xf numFmtId="0" fontId="20" fillId="0" borderId="19" xfId="0" applyFont="1" applyBorder="1"/>
    <xf numFmtId="8" fontId="20" fillId="0" borderId="19" xfId="0" applyNumberFormat="1" applyFont="1" applyBorder="1"/>
    <xf numFmtId="164" fontId="20" fillId="0" borderId="19" xfId="0" applyNumberFormat="1" applyFont="1" applyBorder="1"/>
    <xf numFmtId="165" fontId="20" fillId="0" borderId="17" xfId="0" applyNumberFormat="1" applyFont="1" applyBorder="1"/>
    <xf numFmtId="165" fontId="20" fillId="0" borderId="20" xfId="0" applyNumberFormat="1" applyFont="1" applyBorder="1"/>
    <xf numFmtId="2" fontId="20" fillId="0" borderId="13" xfId="0" applyNumberFormat="1" applyFont="1" applyBorder="1"/>
    <xf numFmtId="165" fontId="20" fillId="0" borderId="13" xfId="0" applyNumberFormat="1" applyFont="1" applyBorder="1" applyAlignment="1"/>
    <xf numFmtId="165" fontId="20" fillId="0" borderId="10" xfId="0" applyNumberFormat="1" applyFont="1" applyBorder="1" applyAlignment="1"/>
    <xf numFmtId="2" fontId="20" fillId="0" borderId="12" xfId="0" applyNumberFormat="1" applyFont="1" applyBorder="1"/>
    <xf numFmtId="2" fontId="20" fillId="0" borderId="18" xfId="0" applyNumberFormat="1" applyFont="1" applyBorder="1"/>
    <xf numFmtId="0" fontId="20" fillId="0" borderId="17" xfId="0" applyFont="1" applyBorder="1"/>
    <xf numFmtId="8" fontId="20" fillId="0" borderId="0" xfId="0" applyNumberFormat="1" applyFont="1"/>
    <xf numFmtId="164" fontId="20" fillId="0" borderId="0" xfId="0" applyNumberFormat="1" applyFont="1"/>
    <xf numFmtId="0" fontId="18" fillId="0" borderId="0" xfId="0" applyFont="1" applyFill="1"/>
    <xf numFmtId="165" fontId="20" fillId="0" borderId="12" xfId="0" applyNumberFormat="1" applyFont="1" applyFill="1" applyBorder="1"/>
    <xf numFmtId="0" fontId="20" fillId="0" borderId="20" xfId="0" applyFont="1" applyBorder="1"/>
    <xf numFmtId="8" fontId="20" fillId="0" borderId="22" xfId="0" applyNumberFormat="1" applyFont="1" applyBorder="1"/>
    <xf numFmtId="164" fontId="20" fillId="0" borderId="22" xfId="0" applyNumberFormat="1" applyFont="1" applyBorder="1"/>
    <xf numFmtId="165" fontId="20" fillId="0" borderId="21" xfId="0" applyNumberFormat="1" applyFont="1" applyFill="1" applyBorder="1"/>
    <xf numFmtId="8" fontId="20" fillId="0" borderId="0" xfId="0" applyNumberFormat="1" applyFont="1" applyFill="1" applyBorder="1"/>
    <xf numFmtId="164" fontId="20" fillId="0" borderId="0" xfId="0" applyNumberFormat="1" applyFont="1" applyFill="1" applyBorder="1"/>
    <xf numFmtId="165" fontId="20" fillId="0" borderId="23" xfId="0" applyNumberFormat="1" applyFont="1" applyBorder="1"/>
    <xf numFmtId="165" fontId="20" fillId="0" borderId="21" xfId="0" applyNumberFormat="1" applyFont="1" applyBorder="1"/>
    <xf numFmtId="164" fontId="20" fillId="0" borderId="0" xfId="0" applyNumberFormat="1" applyFont="1" applyFill="1"/>
    <xf numFmtId="0" fontId="23" fillId="0" borderId="0" xfId="0" applyFont="1"/>
    <xf numFmtId="2" fontId="20" fillId="0" borderId="13" xfId="0" applyNumberFormat="1" applyFont="1" applyFill="1" applyBorder="1"/>
    <xf numFmtId="0" fontId="20" fillId="0" borderId="13" xfId="0" applyFont="1" applyFill="1" applyBorder="1"/>
    <xf numFmtId="2" fontId="20" fillId="0" borderId="0" xfId="0" applyNumberFormat="1" applyFont="1" applyBorder="1"/>
    <xf numFmtId="165" fontId="20" fillId="0" borderId="0" xfId="0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0" fontId="18" fillId="4" borderId="0" xfId="0" applyFont="1" applyFill="1"/>
    <xf numFmtId="7" fontId="20" fillId="0" borderId="0" xfId="0" applyNumberFormat="1" applyFont="1"/>
    <xf numFmtId="4" fontId="20" fillId="0" borderId="0" xfId="0" applyNumberFormat="1" applyFont="1" applyAlignment="1">
      <alignment horizontal="right"/>
    </xf>
    <xf numFmtId="4" fontId="20" fillId="0" borderId="0" xfId="0" applyNumberFormat="1" applyFont="1"/>
    <xf numFmtId="164" fontId="18" fillId="0" borderId="0" xfId="0" applyNumberFormat="1" applyFont="1" applyBorder="1"/>
    <xf numFmtId="4" fontId="20" fillId="0" borderId="22" xfId="0" applyNumberFormat="1" applyFont="1" applyBorder="1"/>
    <xf numFmtId="165" fontId="20" fillId="0" borderId="7" xfId="0" applyNumberFormat="1" applyFont="1" applyBorder="1"/>
    <xf numFmtId="165" fontId="18" fillId="0" borderId="0" xfId="0" applyNumberFormat="1" applyFont="1"/>
    <xf numFmtId="165" fontId="21" fillId="7" borderId="11" xfId="0" applyNumberFormat="1" applyFont="1" applyFill="1" applyBorder="1" applyAlignment="1">
      <alignment horizontal="center"/>
    </xf>
    <xf numFmtId="165" fontId="21" fillId="7" borderId="11" xfId="0" applyNumberFormat="1" applyFont="1" applyFill="1" applyBorder="1"/>
    <xf numFmtId="0" fontId="21" fillId="7" borderId="9" xfId="0" applyFont="1" applyFill="1" applyBorder="1"/>
    <xf numFmtId="165" fontId="21" fillId="7" borderId="12" xfId="0" applyNumberFormat="1" applyFont="1" applyFill="1" applyBorder="1" applyAlignment="1">
      <alignment horizontal="center"/>
    </xf>
    <xf numFmtId="2" fontId="20" fillId="0" borderId="11" xfId="0" applyNumberFormat="1" applyFont="1" applyBorder="1" applyAlignment="1">
      <alignment horizontal="right"/>
    </xf>
    <xf numFmtId="8" fontId="20" fillId="0" borderId="0" xfId="0" applyNumberFormat="1" applyFont="1" applyAlignment="1">
      <alignment horizontal="right"/>
    </xf>
    <xf numFmtId="8" fontId="20" fillId="0" borderId="0" xfId="0" applyNumberFormat="1" applyFont="1" applyFill="1"/>
    <xf numFmtId="0" fontId="18" fillId="0" borderId="1" xfId="0" applyFont="1" applyBorder="1"/>
    <xf numFmtId="0" fontId="18" fillId="0" borderId="0" xfId="0" applyFont="1" applyBorder="1"/>
    <xf numFmtId="0" fontId="20" fillId="0" borderId="22" xfId="0" applyFont="1" applyBorder="1"/>
    <xf numFmtId="165" fontId="20" fillId="0" borderId="17" xfId="0" applyNumberFormat="1" applyFont="1" applyFill="1" applyBorder="1"/>
    <xf numFmtId="2" fontId="20" fillId="0" borderId="11" xfId="0" applyNumberFormat="1" applyFont="1" applyBorder="1"/>
    <xf numFmtId="2" fontId="20" fillId="0" borderId="6" xfId="0" applyNumberFormat="1" applyFont="1" applyBorder="1"/>
    <xf numFmtId="0" fontId="20" fillId="0" borderId="7" xfId="0" applyFont="1" applyBorder="1"/>
    <xf numFmtId="2" fontId="20" fillId="0" borderId="13" xfId="0" applyNumberFormat="1" applyFont="1" applyBorder="1" applyAlignment="1">
      <alignment horizontal="right"/>
    </xf>
    <xf numFmtId="165" fontId="20" fillId="4" borderId="13" xfId="0" applyNumberFormat="1" applyFont="1" applyFill="1" applyBorder="1"/>
    <xf numFmtId="0" fontId="23" fillId="0" borderId="1" xfId="0" applyFont="1" applyBorder="1"/>
    <xf numFmtId="8" fontId="21" fillId="0" borderId="0" xfId="0" applyNumberFormat="1" applyFont="1"/>
    <xf numFmtId="0" fontId="23" fillId="0" borderId="0" xfId="0" applyFont="1" applyBorder="1"/>
    <xf numFmtId="164" fontId="20" fillId="4" borderId="0" xfId="0" applyNumberFormat="1" applyFont="1" applyFill="1"/>
    <xf numFmtId="165" fontId="20" fillId="4" borderId="12" xfId="0" applyNumberFormat="1" applyFont="1" applyFill="1" applyBorder="1"/>
    <xf numFmtId="0" fontId="21" fillId="0" borderId="0" xfId="0" applyFont="1"/>
    <xf numFmtId="164" fontId="21" fillId="0" borderId="0" xfId="0" applyNumberFormat="1" applyFont="1"/>
    <xf numFmtId="165" fontId="20" fillId="7" borderId="11" xfId="0" applyNumberFormat="1" applyFont="1" applyFill="1" applyBorder="1" applyAlignment="1">
      <alignment horizontal="center"/>
    </xf>
    <xf numFmtId="165" fontId="20" fillId="7" borderId="12" xfId="0" applyNumberFormat="1" applyFont="1" applyFill="1" applyBorder="1" applyAlignment="1">
      <alignment horizontal="center"/>
    </xf>
    <xf numFmtId="164" fontId="20" fillId="0" borderId="11" xfId="0" applyNumberFormat="1" applyFont="1" applyBorder="1" applyAlignment="1">
      <alignment horizontal="right"/>
    </xf>
    <xf numFmtId="164" fontId="20" fillId="0" borderId="11" xfId="0" applyNumberFormat="1" applyFont="1" applyBorder="1"/>
    <xf numFmtId="165" fontId="20" fillId="0" borderId="11" xfId="0" applyNumberFormat="1" applyFont="1" applyBorder="1" applyAlignment="1"/>
    <xf numFmtId="164" fontId="20" fillId="0" borderId="13" xfId="0" applyNumberFormat="1" applyFont="1" applyBorder="1"/>
    <xf numFmtId="164" fontId="20" fillId="0" borderId="13" xfId="0" applyNumberFormat="1" applyFont="1" applyFill="1" applyBorder="1"/>
    <xf numFmtId="165" fontId="20" fillId="0" borderId="13" xfId="0" applyNumberFormat="1" applyFont="1" applyFill="1" applyBorder="1" applyAlignment="1"/>
    <xf numFmtId="164" fontId="20" fillId="0" borderId="0" xfId="0" applyNumberFormat="1" applyFont="1" applyAlignment="1">
      <alignment horizontal="right"/>
    </xf>
    <xf numFmtId="164" fontId="20" fillId="0" borderId="12" xfId="0" applyNumberFormat="1" applyFont="1" applyBorder="1"/>
    <xf numFmtId="165" fontId="20" fillId="0" borderId="12" xfId="0" applyNumberFormat="1" applyFont="1" applyBorder="1" applyAlignment="1"/>
    <xf numFmtId="164" fontId="20" fillId="0" borderId="18" xfId="0" applyNumberFormat="1" applyFont="1" applyBorder="1"/>
    <xf numFmtId="164" fontId="20" fillId="0" borderId="20" xfId="0" applyNumberFormat="1" applyFont="1" applyBorder="1"/>
    <xf numFmtId="164" fontId="20" fillId="0" borderId="14" xfId="0" applyNumberFormat="1" applyFont="1" applyBorder="1"/>
    <xf numFmtId="164" fontId="20" fillId="0" borderId="15" xfId="0" applyNumberFormat="1" applyFont="1" applyBorder="1"/>
    <xf numFmtId="165" fontId="20" fillId="0" borderId="3" xfId="0" applyNumberFormat="1" applyFont="1" applyBorder="1"/>
    <xf numFmtId="165" fontId="20" fillId="0" borderId="0" xfId="0" applyNumberFormat="1" applyFont="1" applyAlignment="1"/>
    <xf numFmtId="165" fontId="20" fillId="0" borderId="6" xfId="0" applyNumberFormat="1" applyFont="1" applyBorder="1"/>
    <xf numFmtId="165" fontId="20" fillId="0" borderId="16" xfId="0" applyNumberFormat="1" applyFont="1" applyFill="1" applyBorder="1"/>
    <xf numFmtId="165" fontId="20" fillId="0" borderId="8" xfId="0" applyNumberFormat="1" applyFont="1" applyFill="1" applyBorder="1"/>
    <xf numFmtId="0" fontId="21" fillId="7" borderId="2" xfId="0" applyFont="1" applyFill="1" applyBorder="1" applyAlignment="1">
      <alignment horizontal="center"/>
    </xf>
    <xf numFmtId="164" fontId="20" fillId="0" borderId="13" xfId="0" applyNumberFormat="1" applyFont="1" applyBorder="1" applyAlignment="1">
      <alignment horizontal="right"/>
    </xf>
    <xf numFmtId="0" fontId="21" fillId="0" borderId="0" xfId="0" applyFont="1" applyAlignment="1"/>
    <xf numFmtId="164" fontId="21" fillId="0" borderId="0" xfId="0" applyNumberFormat="1" applyFont="1" applyAlignment="1"/>
    <xf numFmtId="164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/>
    <xf numFmtId="0" fontId="21" fillId="2" borderId="0" xfId="0" applyFont="1" applyFill="1" applyAlignment="1">
      <alignment horizontal="center"/>
    </xf>
    <xf numFmtId="0" fontId="21" fillId="2" borderId="0" xfId="0" applyFont="1" applyFill="1"/>
    <xf numFmtId="164" fontId="21" fillId="2" borderId="0" xfId="0" applyNumberFormat="1" applyFont="1" applyFill="1" applyBorder="1"/>
    <xf numFmtId="0" fontId="20" fillId="2" borderId="0" xfId="0" applyFont="1" applyFill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 applyAlignment="1"/>
    <xf numFmtId="49" fontId="20" fillId="0" borderId="0" xfId="0" applyNumberFormat="1" applyFont="1"/>
    <xf numFmtId="0" fontId="20" fillId="0" borderId="0" xfId="0" applyFont="1" applyFill="1"/>
    <xf numFmtId="164" fontId="20" fillId="0" borderId="0" xfId="0" applyNumberFormat="1" applyFont="1" applyFill="1" applyAlignment="1"/>
    <xf numFmtId="165" fontId="23" fillId="0" borderId="0" xfId="0" applyNumberFormat="1" applyFont="1" applyBorder="1"/>
    <xf numFmtId="165" fontId="20" fillId="4" borderId="11" xfId="0" applyNumberFormat="1" applyFont="1" applyFill="1" applyBorder="1"/>
    <xf numFmtId="164" fontId="21" fillId="0" borderId="0" xfId="0" applyNumberFormat="1" applyFont="1" applyBorder="1"/>
    <xf numFmtId="164" fontId="20" fillId="0" borderId="28" xfId="0" applyNumberFormat="1" applyFont="1" applyBorder="1"/>
    <xf numFmtId="165" fontId="20" fillId="0" borderId="12" xfId="0" applyNumberFormat="1" applyFont="1" applyBorder="1" applyAlignment="1">
      <alignment horizontal="right"/>
    </xf>
    <xf numFmtId="165" fontId="20" fillId="0" borderId="11" xfId="0" applyNumberFormat="1" applyFont="1" applyBorder="1" applyAlignment="1">
      <alignment horizontal="right"/>
    </xf>
    <xf numFmtId="164" fontId="20" fillId="0" borderId="6" xfId="0" applyNumberFormat="1" applyFont="1" applyBorder="1"/>
    <xf numFmtId="164" fontId="20" fillId="0" borderId="7" xfId="0" applyNumberFormat="1" applyFont="1" applyBorder="1"/>
    <xf numFmtId="164" fontId="23" fillId="0" borderId="26" xfId="0" applyNumberFormat="1" applyFont="1" applyBorder="1"/>
    <xf numFmtId="164" fontId="21" fillId="0" borderId="26" xfId="0" applyNumberFormat="1" applyFont="1" applyBorder="1"/>
    <xf numFmtId="165" fontId="21" fillId="0" borderId="24" xfId="0" applyNumberFormat="1" applyFont="1" applyBorder="1"/>
    <xf numFmtId="165" fontId="18" fillId="0" borderId="0" xfId="0" applyNumberFormat="1" applyFont="1" applyFill="1"/>
    <xf numFmtId="165" fontId="20" fillId="0" borderId="0" xfId="0" applyNumberFormat="1" applyFont="1" applyAlignment="1">
      <alignment horizontal="right"/>
    </xf>
    <xf numFmtId="0" fontId="18" fillId="7" borderId="6" xfId="0" applyFont="1" applyFill="1" applyBorder="1"/>
    <xf numFmtId="0" fontId="18" fillId="7" borderId="7" xfId="0" applyFont="1" applyFill="1" applyBorder="1"/>
    <xf numFmtId="0" fontId="18" fillId="7" borderId="1" xfId="0" applyFont="1" applyFill="1" applyBorder="1"/>
    <xf numFmtId="165" fontId="21" fillId="7" borderId="7" xfId="0" applyNumberFormat="1" applyFont="1" applyFill="1" applyBorder="1" applyAlignment="1">
      <alignment horizontal="center"/>
    </xf>
    <xf numFmtId="0" fontId="18" fillId="7" borderId="9" xfId="0" applyFont="1" applyFill="1" applyBorder="1"/>
    <xf numFmtId="0" fontId="18" fillId="7" borderId="2" xfId="0" applyFont="1" applyFill="1" applyBorder="1"/>
    <xf numFmtId="165" fontId="21" fillId="7" borderId="9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20" fillId="0" borderId="13" xfId="0" applyFont="1" applyBorder="1" applyAlignment="1">
      <alignment horizontal="left"/>
    </xf>
    <xf numFmtId="165" fontId="20" fillId="0" borderId="13" xfId="0" applyNumberFormat="1" applyFont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0" fontId="20" fillId="0" borderId="12" xfId="0" applyFont="1" applyBorder="1" applyAlignment="1">
      <alignment horizontal="left"/>
    </xf>
    <xf numFmtId="2" fontId="20" fillId="0" borderId="18" xfId="0" applyNumberFormat="1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2" xfId="0" applyFont="1" applyBorder="1" applyAlignment="1">
      <alignment horizontal="right"/>
    </xf>
    <xf numFmtId="164" fontId="20" fillId="0" borderId="22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2" fontId="20" fillId="4" borderId="13" xfId="0" applyNumberFormat="1" applyFont="1" applyFill="1" applyBorder="1" applyAlignment="1">
      <alignment horizontal="right"/>
    </xf>
    <xf numFmtId="0" fontId="20" fillId="4" borderId="13" xfId="0" applyFont="1" applyFill="1" applyBorder="1" applyAlignment="1">
      <alignment horizontal="left"/>
    </xf>
    <xf numFmtId="0" fontId="20" fillId="4" borderId="0" xfId="0" applyFont="1" applyFill="1" applyAlignment="1">
      <alignment horizontal="right"/>
    </xf>
    <xf numFmtId="164" fontId="20" fillId="4" borderId="0" xfId="0" applyNumberFormat="1" applyFont="1" applyFill="1" applyAlignment="1">
      <alignment horizontal="right"/>
    </xf>
    <xf numFmtId="165" fontId="20" fillId="4" borderId="13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right"/>
    </xf>
    <xf numFmtId="165" fontId="20" fillId="4" borderId="8" xfId="0" applyNumberFormat="1" applyFont="1" applyFill="1" applyBorder="1"/>
    <xf numFmtId="165" fontId="20" fillId="0" borderId="13" xfId="0" applyNumberFormat="1" applyFont="1" applyFill="1" applyBorder="1" applyAlignment="1">
      <alignment horizontal="right"/>
    </xf>
    <xf numFmtId="165" fontId="20" fillId="0" borderId="12" xfId="0" applyNumberFormat="1" applyFont="1" applyFill="1" applyBorder="1" applyAlignment="1">
      <alignment horizontal="right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8" fontId="21" fillId="0" borderId="31" xfId="0" applyNumberFormat="1" applyFont="1" applyBorder="1"/>
    <xf numFmtId="164" fontId="21" fillId="0" borderId="31" xfId="0" applyNumberFormat="1" applyFont="1" applyBorder="1" applyAlignment="1"/>
    <xf numFmtId="165" fontId="21" fillId="0" borderId="32" xfId="0" applyNumberFormat="1" applyFont="1" applyBorder="1" applyAlignment="1"/>
    <xf numFmtId="164" fontId="21" fillId="7" borderId="2" xfId="0" applyNumberFormat="1" applyFont="1" applyFill="1" applyBorder="1" applyAlignment="1"/>
    <xf numFmtId="164" fontId="21" fillId="7" borderId="2" xfId="0" applyNumberFormat="1" applyFont="1" applyFill="1" applyBorder="1"/>
    <xf numFmtId="8" fontId="20" fillId="0" borderId="22" xfId="0" applyNumberFormat="1" applyFont="1" applyFill="1" applyBorder="1"/>
    <xf numFmtId="164" fontId="20" fillId="0" borderId="22" xfId="0" applyNumberFormat="1" applyFont="1" applyFill="1" applyBorder="1"/>
    <xf numFmtId="164" fontId="21" fillId="0" borderId="22" xfId="0" applyNumberFormat="1" applyFont="1" applyBorder="1"/>
    <xf numFmtId="0" fontId="20" fillId="0" borderId="6" xfId="0" applyFont="1" applyBorder="1"/>
    <xf numFmtId="0" fontId="21" fillId="0" borderId="0" xfId="0" applyFont="1" applyFill="1"/>
    <xf numFmtId="164" fontId="20" fillId="0" borderId="0" xfId="0" applyNumberFormat="1" applyFont="1" applyFill="1" applyAlignment="1">
      <alignment horizontal="right"/>
    </xf>
    <xf numFmtId="8" fontId="20" fillId="0" borderId="0" xfId="0" applyNumberFormat="1" applyFont="1" applyFill="1" applyAlignment="1">
      <alignment horizontal="right"/>
    </xf>
    <xf numFmtId="2" fontId="20" fillId="0" borderId="12" xfId="0" applyNumberFormat="1" applyFont="1" applyFill="1" applyBorder="1"/>
    <xf numFmtId="0" fontId="20" fillId="0" borderId="12" xfId="0" applyFont="1" applyFill="1" applyBorder="1"/>
    <xf numFmtId="165" fontId="20" fillId="0" borderId="12" xfId="0" applyNumberFormat="1" applyFont="1" applyFill="1" applyBorder="1" applyAlignment="1"/>
    <xf numFmtId="2" fontId="20" fillId="0" borderId="18" xfId="0" applyNumberFormat="1" applyFont="1" applyFill="1" applyBorder="1"/>
    <xf numFmtId="0" fontId="20" fillId="0" borderId="20" xfId="0" applyFont="1" applyFill="1" applyBorder="1"/>
    <xf numFmtId="164" fontId="20" fillId="0" borderId="18" xfId="0" applyNumberFormat="1" applyFont="1" applyFill="1" applyBorder="1"/>
    <xf numFmtId="164" fontId="20" fillId="0" borderId="20" xfId="0" applyNumberFormat="1" applyFont="1" applyFill="1" applyBorder="1"/>
    <xf numFmtId="0" fontId="20" fillId="0" borderId="6" xfId="0" applyFont="1" applyFill="1" applyBorder="1"/>
    <xf numFmtId="0" fontId="20" fillId="0" borderId="7" xfId="0" applyFont="1" applyFill="1" applyBorder="1"/>
    <xf numFmtId="0" fontId="21" fillId="0" borderId="0" xfId="0" applyFont="1" applyBorder="1" applyAlignment="1"/>
    <xf numFmtId="8" fontId="21" fillId="0" borderId="0" xfId="0" applyNumberFormat="1" applyFont="1" applyBorder="1"/>
    <xf numFmtId="164" fontId="21" fillId="0" borderId="0" xfId="0" applyNumberFormat="1" applyFont="1" applyBorder="1" applyAlignment="1"/>
    <xf numFmtId="7" fontId="21" fillId="0" borderId="0" xfId="0" applyNumberFormat="1" applyFont="1"/>
    <xf numFmtId="165" fontId="21" fillId="0" borderId="0" xfId="0" applyNumberFormat="1" applyFont="1"/>
    <xf numFmtId="165" fontId="21" fillId="0" borderId="0" xfId="0" applyNumberFormat="1" applyFont="1" applyAlignment="1">
      <alignment horizontal="right"/>
    </xf>
    <xf numFmtId="165" fontId="24" fillId="3" borderId="0" xfId="0" applyNumberFormat="1" applyFont="1" applyFill="1" applyBorder="1" applyAlignment="1"/>
    <xf numFmtId="0" fontId="20" fillId="7" borderId="2" xfId="0" applyFont="1" applyFill="1" applyBorder="1"/>
    <xf numFmtId="0" fontId="20" fillId="4" borderId="11" xfId="0" applyFont="1" applyFill="1" applyBorder="1" applyAlignment="1">
      <alignment horizontal="right"/>
    </xf>
    <xf numFmtId="0" fontId="20" fillId="4" borderId="11" xfId="0" applyFont="1" applyFill="1" applyBorder="1"/>
    <xf numFmtId="164" fontId="21" fillId="4" borderId="0" xfId="0" applyNumberFormat="1" applyFont="1" applyFill="1" applyAlignment="1"/>
    <xf numFmtId="164" fontId="21" fillId="4" borderId="0" xfId="0" applyNumberFormat="1" applyFont="1" applyFill="1"/>
    <xf numFmtId="165" fontId="20" fillId="4" borderId="11" xfId="0" applyNumberFormat="1" applyFont="1" applyFill="1" applyBorder="1" applyAlignment="1">
      <alignment horizontal="right"/>
    </xf>
    <xf numFmtId="165" fontId="20" fillId="0" borderId="11" xfId="0" applyNumberFormat="1" applyFont="1" applyFill="1" applyBorder="1" applyAlignment="1"/>
    <xf numFmtId="165" fontId="20" fillId="0" borderId="17" xfId="0" applyNumberFormat="1" applyFont="1" applyBorder="1" applyAlignment="1"/>
    <xf numFmtId="165" fontId="20" fillId="0" borderId="22" xfId="0" applyNumberFormat="1" applyFont="1" applyBorder="1"/>
    <xf numFmtId="8" fontId="21" fillId="0" borderId="26" xfId="0" applyNumberFormat="1" applyFont="1" applyBorder="1"/>
    <xf numFmtId="165" fontId="20" fillId="0" borderId="0" xfId="0" applyNumberFormat="1" applyFont="1" applyFill="1"/>
    <xf numFmtId="0" fontId="20" fillId="7" borderId="12" xfId="0" applyFont="1" applyFill="1" applyBorder="1" applyAlignment="1">
      <alignment horizontal="center"/>
    </xf>
    <xf numFmtId="165" fontId="20" fillId="0" borderId="3" xfId="0" applyNumberFormat="1" applyFont="1" applyBorder="1" applyAlignment="1"/>
    <xf numFmtId="2" fontId="20" fillId="0" borderId="18" xfId="0" applyNumberFormat="1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164" fontId="21" fillId="0" borderId="26" xfId="0" applyNumberFormat="1" applyFont="1" applyBorder="1" applyAlignment="1"/>
    <xf numFmtId="165" fontId="21" fillId="0" borderId="24" xfId="0" applyNumberFormat="1" applyFont="1" applyBorder="1" applyAlignment="1"/>
    <xf numFmtId="164" fontId="20" fillId="0" borderId="19" xfId="0" applyNumberFormat="1" applyFont="1" applyBorder="1" applyAlignment="1"/>
    <xf numFmtId="164" fontId="20" fillId="0" borderId="22" xfId="0" applyNumberFormat="1" applyFont="1" applyBorder="1" applyAlignment="1"/>
    <xf numFmtId="165" fontId="18" fillId="0" borderId="13" xfId="0" applyNumberFormat="1" applyFont="1" applyBorder="1"/>
    <xf numFmtId="7" fontId="20" fillId="0" borderId="2" xfId="0" applyNumberFormat="1" applyFont="1" applyBorder="1"/>
    <xf numFmtId="7" fontId="20" fillId="0" borderId="0" xfId="0" applyNumberFormat="1" applyFont="1" applyBorder="1"/>
    <xf numFmtId="7" fontId="20" fillId="0" borderId="22" xfId="0" applyNumberFormat="1" applyFont="1" applyBorder="1"/>
    <xf numFmtId="2" fontId="20" fillId="0" borderId="14" xfId="0" applyNumberFormat="1" applyFont="1" applyBorder="1"/>
    <xf numFmtId="0" fontId="20" fillId="0" borderId="15" xfId="0" applyFont="1" applyBorder="1"/>
    <xf numFmtId="0" fontId="21" fillId="7" borderId="6" xfId="0" applyFont="1" applyFill="1" applyBorder="1" applyAlignment="1"/>
    <xf numFmtId="0" fontId="20" fillId="7" borderId="7" xfId="0" applyFont="1" applyFill="1" applyBorder="1" applyAlignment="1"/>
    <xf numFmtId="164" fontId="21" fillId="7" borderId="0" xfId="0" applyNumberFormat="1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0" fillId="7" borderId="0" xfId="0" applyFont="1" applyFill="1" applyAlignment="1">
      <alignment horizontal="right"/>
    </xf>
    <xf numFmtId="0" fontId="21" fillId="7" borderId="0" xfId="0" applyFont="1" applyFill="1"/>
    <xf numFmtId="14" fontId="21" fillId="7" borderId="12" xfId="0" applyNumberFormat="1" applyFont="1" applyFill="1" applyBorder="1" applyAlignment="1">
      <alignment horizontal="center"/>
    </xf>
    <xf numFmtId="0" fontId="18" fillId="2" borderId="0" xfId="0" applyFont="1" applyFill="1"/>
    <xf numFmtId="165" fontId="20" fillId="4" borderId="13" xfId="0" applyNumberFormat="1" applyFont="1" applyFill="1" applyBorder="1" applyAlignment="1"/>
    <xf numFmtId="2" fontId="20" fillId="0" borderId="3" xfId="0" applyNumberFormat="1" applyFont="1" applyBorder="1"/>
    <xf numFmtId="0" fontId="20" fillId="0" borderId="3" xfId="0" applyFont="1" applyBorder="1"/>
    <xf numFmtId="165" fontId="20" fillId="0" borderId="3" xfId="0" applyNumberFormat="1" applyFont="1" applyFill="1" applyBorder="1"/>
    <xf numFmtId="0" fontId="25" fillId="7" borderId="8" xfId="0" applyFont="1" applyFill="1" applyBorder="1"/>
    <xf numFmtId="0" fontId="26" fillId="0" borderId="13" xfId="0" applyFont="1" applyBorder="1"/>
    <xf numFmtId="0" fontId="26" fillId="0" borderId="12" xfId="0" applyFont="1" applyBorder="1"/>
    <xf numFmtId="8" fontId="20" fillId="0" borderId="19" xfId="0" applyNumberFormat="1" applyFont="1" applyFill="1" applyBorder="1"/>
    <xf numFmtId="164" fontId="20" fillId="0" borderId="19" xfId="0" applyNumberFormat="1" applyFont="1" applyFill="1" applyBorder="1"/>
    <xf numFmtId="2" fontId="20" fillId="0" borderId="16" xfId="0" applyNumberFormat="1" applyFont="1" applyBorder="1"/>
    <xf numFmtId="0" fontId="20" fillId="0" borderId="10" xfId="0" applyFont="1" applyBorder="1"/>
    <xf numFmtId="0" fontId="20" fillId="0" borderId="14" xfId="0" applyFont="1" applyBorder="1"/>
    <xf numFmtId="165" fontId="21" fillId="0" borderId="2" xfId="0" applyNumberFormat="1" applyFont="1" applyBorder="1"/>
    <xf numFmtId="165" fontId="21" fillId="0" borderId="0" xfId="0" applyNumberFormat="1" applyFont="1" applyFill="1"/>
    <xf numFmtId="0" fontId="21" fillId="7" borderId="6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1" fillId="7" borderId="8" xfId="0" applyFont="1" applyFill="1" applyBorder="1" applyAlignment="1">
      <alignment horizontal="left"/>
    </xf>
    <xf numFmtId="0" fontId="21" fillId="7" borderId="9" xfId="0" applyFont="1" applyFill="1" applyBorder="1" applyAlignment="1">
      <alignment horizontal="left"/>
    </xf>
    <xf numFmtId="165" fontId="21" fillId="0" borderId="32" xfId="0" applyNumberFormat="1" applyFont="1" applyBorder="1"/>
    <xf numFmtId="164" fontId="20" fillId="7" borderId="0" xfId="0" applyNumberFormat="1" applyFont="1" applyFill="1"/>
    <xf numFmtId="164" fontId="21" fillId="7" borderId="0" xfId="0" applyNumberFormat="1" applyFont="1" applyFill="1"/>
    <xf numFmtId="0" fontId="25" fillId="7" borderId="8" xfId="0" applyFont="1" applyFill="1" applyBorder="1" applyAlignment="1">
      <alignment horizontal="left"/>
    </xf>
    <xf numFmtId="0" fontId="20" fillId="7" borderId="7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right"/>
    </xf>
    <xf numFmtId="0" fontId="20" fillId="0" borderId="11" xfId="0" applyFont="1" applyFill="1" applyBorder="1" applyAlignment="1">
      <alignment horizontal="left"/>
    </xf>
    <xf numFmtId="165" fontId="20" fillId="0" borderId="11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165" fontId="20" fillId="0" borderId="17" xfId="0" applyNumberFormat="1" applyFont="1" applyFill="1" applyBorder="1" applyAlignment="1">
      <alignment horizontal="right"/>
    </xf>
    <xf numFmtId="0" fontId="21" fillId="0" borderId="29" xfId="0" applyFont="1" applyBorder="1" applyAlignment="1"/>
    <xf numFmtId="0" fontId="21" fillId="0" borderId="30" xfId="0" applyFont="1" applyBorder="1" applyAlignment="1"/>
    <xf numFmtId="165" fontId="21" fillId="0" borderId="32" xfId="0" applyNumberFormat="1" applyFont="1" applyFill="1" applyBorder="1"/>
    <xf numFmtId="165" fontId="21" fillId="0" borderId="30" xfId="0" applyNumberFormat="1" applyFont="1" applyFill="1" applyBorder="1"/>
    <xf numFmtId="165" fontId="21" fillId="0" borderId="37" xfId="0" applyNumberFormat="1" applyFont="1" applyBorder="1"/>
    <xf numFmtId="165" fontId="21" fillId="0" borderId="37" xfId="0" applyNumberFormat="1" applyFont="1" applyFill="1" applyBorder="1"/>
    <xf numFmtId="165" fontId="21" fillId="0" borderId="36" xfId="0" applyNumberFormat="1" applyFont="1" applyFill="1" applyBorder="1"/>
    <xf numFmtId="0" fontId="21" fillId="7" borderId="6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left"/>
    </xf>
    <xf numFmtId="0" fontId="21" fillId="7" borderId="0" xfId="0" applyFont="1" applyFill="1" applyAlignment="1">
      <alignment horizontal="left"/>
    </xf>
    <xf numFmtId="0" fontId="21" fillId="7" borderId="11" xfId="0" applyFont="1" applyFill="1" applyBorder="1" applyAlignment="1">
      <alignment horizontal="left"/>
    </xf>
    <xf numFmtId="0" fontId="20" fillId="7" borderId="8" xfId="0" applyFont="1" applyFill="1" applyBorder="1"/>
    <xf numFmtId="0" fontId="21" fillId="7" borderId="10" xfId="0" applyFont="1" applyFill="1" applyBorder="1"/>
    <xf numFmtId="0" fontId="21" fillId="7" borderId="13" xfId="0" applyFont="1" applyFill="1" applyBorder="1" applyAlignment="1">
      <alignment horizontal="center"/>
    </xf>
    <xf numFmtId="14" fontId="20" fillId="7" borderId="13" xfId="0" applyNumberFormat="1" applyFont="1" applyFill="1" applyBorder="1" applyAlignment="1">
      <alignment horizontal="center"/>
    </xf>
    <xf numFmtId="0" fontId="20" fillId="3" borderId="0" xfId="0" applyFont="1" applyFill="1"/>
    <xf numFmtId="0" fontId="20" fillId="3" borderId="11" xfId="0" applyFont="1" applyFill="1" applyBorder="1"/>
    <xf numFmtId="0" fontId="21" fillId="3" borderId="1" xfId="0" applyFont="1" applyFill="1" applyBorder="1"/>
    <xf numFmtId="164" fontId="20" fillId="3" borderId="1" xfId="0" applyNumberFormat="1" applyFont="1" applyFill="1" applyBorder="1"/>
    <xf numFmtId="165" fontId="20" fillId="3" borderId="11" xfId="0" applyNumberFormat="1" applyFont="1" applyFill="1" applyBorder="1"/>
    <xf numFmtId="0" fontId="20" fillId="7" borderId="0" xfId="0" applyFont="1" applyFill="1"/>
    <xf numFmtId="0" fontId="21" fillId="7" borderId="0" xfId="0" applyFont="1" applyFill="1" applyBorder="1" applyAlignment="1">
      <alignment horizontal="center"/>
    </xf>
    <xf numFmtId="14" fontId="20" fillId="7" borderId="0" xfId="0" applyNumberFormat="1" applyFont="1" applyFill="1" applyAlignment="1">
      <alignment horizontal="center"/>
    </xf>
    <xf numFmtId="165" fontId="21" fillId="0" borderId="27" xfId="0" applyNumberFormat="1" applyFont="1" applyBorder="1"/>
    <xf numFmtId="0" fontId="21" fillId="0" borderId="0" xfId="0" applyFont="1" applyFill="1" applyAlignment="1">
      <alignment horizontal="left"/>
    </xf>
    <xf numFmtId="0" fontId="20" fillId="7" borderId="9" xfId="0" applyFont="1" applyFill="1" applyBorder="1"/>
    <xf numFmtId="0" fontId="26" fillId="0" borderId="11" xfId="0" applyFont="1" applyBorder="1"/>
    <xf numFmtId="49" fontId="20" fillId="0" borderId="12" xfId="0" applyNumberFormat="1" applyFont="1" applyBorder="1" applyAlignment="1">
      <alignment horizontal="right"/>
    </xf>
    <xf numFmtId="0" fontId="21" fillId="0" borderId="14" xfId="0" applyFont="1" applyBorder="1"/>
    <xf numFmtId="0" fontId="21" fillId="0" borderId="15" xfId="0" applyFont="1" applyBorder="1"/>
    <xf numFmtId="165" fontId="21" fillId="0" borderId="3" xfId="0" applyNumberFormat="1" applyFont="1" applyBorder="1"/>
    <xf numFmtId="165" fontId="18" fillId="0" borderId="11" xfId="0" applyNumberFormat="1" applyFont="1" applyBorder="1"/>
    <xf numFmtId="165" fontId="21" fillId="0" borderId="0" xfId="0" applyNumberFormat="1" applyFont="1" applyAlignment="1">
      <alignment horizontal="center"/>
    </xf>
    <xf numFmtId="165" fontId="21" fillId="0" borderId="0" xfId="0" applyNumberFormat="1" applyFont="1" applyFill="1" applyBorder="1"/>
    <xf numFmtId="165" fontId="20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right"/>
    </xf>
    <xf numFmtId="39" fontId="27" fillId="0" borderId="0" xfId="0" applyNumberFormat="1" applyFont="1"/>
    <xf numFmtId="8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left"/>
    </xf>
    <xf numFmtId="165" fontId="20" fillId="0" borderId="0" xfId="0" applyNumberFormat="1" applyFont="1" applyFill="1" applyAlignment="1">
      <alignment horizontal="right"/>
    </xf>
    <xf numFmtId="0" fontId="28" fillId="0" borderId="0" xfId="0" applyFont="1"/>
    <xf numFmtId="165" fontId="20" fillId="4" borderId="0" xfId="0" applyNumberFormat="1" applyFont="1" applyFill="1" applyAlignment="1">
      <alignment horizontal="right"/>
    </xf>
    <xf numFmtId="164" fontId="21" fillId="7" borderId="0" xfId="0" applyNumberFormat="1" applyFont="1" applyFill="1" applyAlignment="1">
      <alignment horizontal="left"/>
    </xf>
    <xf numFmtId="164" fontId="21" fillId="7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165" fontId="20" fillId="0" borderId="2" xfId="0" applyNumberFormat="1" applyFont="1" applyBorder="1"/>
    <xf numFmtId="165" fontId="29" fillId="4" borderId="0" xfId="0" applyNumberFormat="1" applyFont="1" applyFill="1"/>
    <xf numFmtId="0" fontId="20" fillId="7" borderId="11" xfId="0" applyFont="1" applyFill="1" applyBorder="1"/>
    <xf numFmtId="0" fontId="21" fillId="7" borderId="12" xfId="0" applyFont="1" applyFill="1" applyBorder="1"/>
    <xf numFmtId="165" fontId="20" fillId="0" borderId="3" xfId="0" applyNumberFormat="1" applyFont="1" applyBorder="1" applyAlignment="1">
      <alignment horizontal="right"/>
    </xf>
    <xf numFmtId="0" fontId="18" fillId="0" borderId="3" xfId="0" applyFont="1" applyBorder="1"/>
    <xf numFmtId="165" fontId="20" fillId="0" borderId="3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3" fontId="20" fillId="0" borderId="13" xfId="0" applyNumberFormat="1" applyFont="1" applyBorder="1" applyAlignment="1">
      <alignment horizontal="right"/>
    </xf>
    <xf numFmtId="3" fontId="20" fillId="0" borderId="13" xfId="0" applyNumberFormat="1" applyFont="1" applyFill="1" applyBorder="1" applyAlignment="1">
      <alignment horizontal="right"/>
    </xf>
    <xf numFmtId="2" fontId="20" fillId="0" borderId="13" xfId="0" applyNumberFormat="1" applyFont="1" applyBorder="1" applyAlignment="1">
      <alignment horizontal="center"/>
    </xf>
    <xf numFmtId="3" fontId="18" fillId="0" borderId="13" xfId="0" applyNumberFormat="1" applyFont="1" applyBorder="1"/>
    <xf numFmtId="2" fontId="20" fillId="0" borderId="12" xfId="0" applyNumberFormat="1" applyFont="1" applyBorder="1" applyAlignment="1">
      <alignment horizontal="center"/>
    </xf>
    <xf numFmtId="3" fontId="18" fillId="0" borderId="12" xfId="0" applyNumberFormat="1" applyFont="1" applyBorder="1"/>
    <xf numFmtId="3" fontId="20" fillId="0" borderId="12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165" fontId="20" fillId="0" borderId="0" xfId="0" applyNumberFormat="1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/>
    <xf numFmtId="165" fontId="20" fillId="0" borderId="1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center"/>
    </xf>
    <xf numFmtId="165" fontId="20" fillId="0" borderId="5" xfId="0" applyNumberFormat="1" applyFont="1" applyBorder="1" applyAlignment="1">
      <alignment horizontal="right"/>
    </xf>
    <xf numFmtId="164" fontId="18" fillId="0" borderId="0" xfId="0" applyNumberFormat="1" applyFont="1"/>
    <xf numFmtId="164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9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2" fontId="20" fillId="0" borderId="11" xfId="0" applyNumberFormat="1" applyFont="1" applyFill="1" applyBorder="1"/>
    <xf numFmtId="0" fontId="20" fillId="0" borderId="11" xfId="0" applyFont="1" applyFill="1" applyBorder="1"/>
    <xf numFmtId="4" fontId="20" fillId="0" borderId="22" xfId="0" applyNumberFormat="1" applyFont="1" applyFill="1" applyBorder="1"/>
    <xf numFmtId="0" fontId="20" fillId="0" borderId="11" xfId="0" quotePrefix="1" applyFont="1" applyFill="1" applyBorder="1"/>
    <xf numFmtId="8" fontId="20" fillId="0" borderId="1" xfId="0" applyNumberFormat="1" applyFont="1" applyFill="1" applyBorder="1"/>
    <xf numFmtId="4" fontId="20" fillId="0" borderId="1" xfId="0" applyNumberFormat="1" applyFont="1" applyFill="1" applyBorder="1"/>
    <xf numFmtId="164" fontId="20" fillId="0" borderId="1" xfId="0" applyNumberFormat="1" applyFont="1" applyFill="1" applyBorder="1"/>
    <xf numFmtId="8" fontId="21" fillId="0" borderId="26" xfId="0" applyNumberFormat="1" applyFont="1" applyFill="1" applyBorder="1"/>
    <xf numFmtId="164" fontId="21" fillId="0" borderId="26" xfId="0" applyNumberFormat="1" applyFont="1" applyFill="1" applyBorder="1"/>
    <xf numFmtId="165" fontId="21" fillId="0" borderId="24" xfId="0" applyNumberFormat="1" applyFont="1" applyFill="1" applyBorder="1"/>
    <xf numFmtId="165" fontId="21" fillId="0" borderId="27" xfId="0" applyNumberFormat="1" applyFont="1" applyFill="1" applyBorder="1"/>
    <xf numFmtId="2" fontId="20" fillId="0" borderId="11" xfId="0" applyNumberFormat="1" applyFont="1" applyFill="1" applyBorder="1" applyAlignment="1">
      <alignment horizontal="right"/>
    </xf>
    <xf numFmtId="165" fontId="20" fillId="0" borderId="13" xfId="0" quotePrefix="1" applyNumberFormat="1" applyFont="1" applyFill="1" applyBorder="1"/>
    <xf numFmtId="8" fontId="20" fillId="0" borderId="22" xfId="0" applyNumberFormat="1" applyFont="1" applyFill="1" applyBorder="1" applyAlignment="1">
      <alignment horizontal="right"/>
    </xf>
    <xf numFmtId="8" fontId="20" fillId="0" borderId="19" xfId="0" applyNumberFormat="1" applyFont="1" applyFill="1" applyBorder="1" applyAlignment="1">
      <alignment horizontal="right"/>
    </xf>
    <xf numFmtId="165" fontId="20" fillId="0" borderId="20" xfId="0" applyNumberFormat="1" applyFont="1" applyFill="1" applyBorder="1"/>
    <xf numFmtId="165" fontId="20" fillId="0" borderId="13" xfId="1" applyNumberFormat="1" applyFont="1" applyFill="1" applyBorder="1"/>
    <xf numFmtId="4" fontId="20" fillId="0" borderId="0" xfId="0" applyNumberFormat="1" applyFont="1" applyFill="1"/>
    <xf numFmtId="2" fontId="20" fillId="0" borderId="22" xfId="0" applyNumberFormat="1" applyFont="1" applyFill="1" applyBorder="1"/>
    <xf numFmtId="0" fontId="20" fillId="0" borderId="22" xfId="0" applyFont="1" applyFill="1" applyBorder="1"/>
    <xf numFmtId="2" fontId="20" fillId="0" borderId="6" xfId="0" applyNumberFormat="1" applyFont="1" applyFill="1" applyBorder="1"/>
    <xf numFmtId="2" fontId="20" fillId="0" borderId="13" xfId="0" applyNumberFormat="1" applyFont="1" applyFill="1" applyBorder="1" applyAlignment="1">
      <alignment horizontal="right"/>
    </xf>
    <xf numFmtId="8" fontId="21" fillId="0" borderId="0" xfId="0" applyNumberFormat="1" applyFont="1" applyFill="1"/>
    <xf numFmtId="8" fontId="20" fillId="0" borderId="26" xfId="0" applyNumberFormat="1" applyFont="1" applyFill="1" applyBorder="1"/>
    <xf numFmtId="164" fontId="20" fillId="0" borderId="26" xfId="0" applyNumberFormat="1" applyFont="1" applyFill="1" applyBorder="1"/>
    <xf numFmtId="164" fontId="20" fillId="0" borderId="11" xfId="0" applyNumberFormat="1" applyFont="1" applyFill="1" applyBorder="1" applyAlignment="1">
      <alignment horizontal="right"/>
    </xf>
    <xf numFmtId="164" fontId="20" fillId="0" borderId="11" xfId="0" applyNumberFormat="1" applyFont="1" applyFill="1" applyBorder="1"/>
    <xf numFmtId="164" fontId="20" fillId="0" borderId="12" xfId="0" applyNumberFormat="1" applyFont="1" applyFill="1" applyBorder="1"/>
    <xf numFmtId="164" fontId="20" fillId="0" borderId="14" xfId="0" applyNumberFormat="1" applyFont="1" applyFill="1" applyBorder="1"/>
    <xf numFmtId="164" fontId="20" fillId="0" borderId="15" xfId="0" applyNumberFormat="1" applyFont="1" applyFill="1" applyBorder="1"/>
    <xf numFmtId="0" fontId="20" fillId="0" borderId="18" xfId="0" applyFont="1" applyFill="1" applyBorder="1"/>
    <xf numFmtId="164" fontId="21" fillId="0" borderId="26" xfId="0" applyNumberFormat="1" applyFont="1" applyFill="1" applyBorder="1" applyAlignment="1"/>
    <xf numFmtId="165" fontId="21" fillId="0" borderId="24" xfId="0" applyNumberFormat="1" applyFont="1" applyFill="1" applyBorder="1" applyAlignment="1"/>
    <xf numFmtId="0" fontId="20" fillId="0" borderId="0" xfId="0" applyFont="1" applyFill="1" applyBorder="1"/>
    <xf numFmtId="165" fontId="20" fillId="0" borderId="23" xfId="0" applyNumberFormat="1" applyFont="1" applyFill="1" applyBorder="1"/>
    <xf numFmtId="164" fontId="21" fillId="0" borderId="0" xfId="0" applyNumberFormat="1" applyFont="1" applyFill="1"/>
    <xf numFmtId="0" fontId="21" fillId="0" borderId="29" xfId="0" applyFont="1" applyFill="1" applyBorder="1"/>
    <xf numFmtId="0" fontId="21" fillId="0" borderId="31" xfId="0" applyFont="1" applyFill="1" applyBorder="1"/>
    <xf numFmtId="8" fontId="21" fillId="0" borderId="31" xfId="0" applyNumberFormat="1" applyFont="1" applyFill="1" applyBorder="1"/>
    <xf numFmtId="164" fontId="21" fillId="0" borderId="31" xfId="0" applyNumberFormat="1" applyFont="1" applyFill="1" applyBorder="1" applyAlignment="1"/>
    <xf numFmtId="165" fontId="21" fillId="0" borderId="32" xfId="0" applyNumberFormat="1" applyFont="1" applyFill="1" applyBorder="1" applyAlignment="1"/>
    <xf numFmtId="2" fontId="21" fillId="0" borderId="18" xfId="0" applyNumberFormat="1" applyFont="1" applyFill="1" applyBorder="1"/>
    <xf numFmtId="0" fontId="21" fillId="0" borderId="20" xfId="0" applyFont="1" applyFill="1" applyBorder="1"/>
    <xf numFmtId="8" fontId="21" fillId="0" borderId="22" xfId="0" applyNumberFormat="1" applyFont="1" applyFill="1" applyBorder="1"/>
    <xf numFmtId="164" fontId="21" fillId="0" borderId="22" xfId="0" applyNumberFormat="1" applyFont="1" applyFill="1" applyBorder="1"/>
    <xf numFmtId="165" fontId="21" fillId="0" borderId="17" xfId="0" applyNumberFormat="1" applyFont="1" applyFill="1" applyBorder="1"/>
    <xf numFmtId="8" fontId="21" fillId="0" borderId="34" xfId="0" applyNumberFormat="1" applyFont="1" applyFill="1" applyBorder="1"/>
    <xf numFmtId="164" fontId="21" fillId="0" borderId="26" xfId="0" applyNumberFormat="1" applyFont="1" applyFill="1" applyBorder="1" applyAlignment="1">
      <alignment horizontal="right"/>
    </xf>
    <xf numFmtId="165" fontId="21" fillId="0" borderId="24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8" fontId="21" fillId="0" borderId="0" xfId="0" applyNumberFormat="1" applyFont="1" applyFill="1" applyBorder="1"/>
    <xf numFmtId="164" fontId="21" fillId="0" borderId="0" xfId="0" applyNumberFormat="1" applyFont="1" applyFill="1" applyBorder="1" applyAlignment="1"/>
    <xf numFmtId="7" fontId="21" fillId="0" borderId="0" xfId="0" applyNumberFormat="1" applyFont="1" applyFill="1"/>
    <xf numFmtId="165" fontId="21" fillId="0" borderId="0" xfId="0" applyNumberFormat="1" applyFont="1" applyFill="1" applyAlignment="1">
      <alignment horizontal="right"/>
    </xf>
    <xf numFmtId="165" fontId="24" fillId="0" borderId="0" xfId="0" applyNumberFormat="1" applyFont="1" applyFill="1" applyBorder="1" applyAlignment="1"/>
    <xf numFmtId="165" fontId="18" fillId="0" borderId="13" xfId="0" applyNumberFormat="1" applyFont="1" applyFill="1" applyBorder="1"/>
    <xf numFmtId="7" fontId="20" fillId="0" borderId="0" xfId="0" applyNumberFormat="1" applyFont="1" applyFill="1" applyBorder="1"/>
    <xf numFmtId="7" fontId="20" fillId="0" borderId="0" xfId="0" applyNumberFormat="1" applyFont="1" applyFill="1"/>
    <xf numFmtId="164" fontId="21" fillId="0" borderId="1" xfId="0" applyNumberFormat="1" applyFont="1" applyFill="1" applyBorder="1"/>
    <xf numFmtId="164" fontId="21" fillId="0" borderId="0" xfId="0" applyNumberFormat="1" applyFont="1" applyFill="1" applyAlignment="1"/>
    <xf numFmtId="8" fontId="20" fillId="0" borderId="0" xfId="0" applyNumberFormat="1" applyFont="1" applyFill="1" applyBorder="1" applyAlignment="1">
      <alignment horizontal="right"/>
    </xf>
    <xf numFmtId="164" fontId="20" fillId="0" borderId="22" xfId="0" applyNumberFormat="1" applyFont="1" applyFill="1" applyBorder="1" applyAlignment="1">
      <alignment horizontal="right"/>
    </xf>
    <xf numFmtId="165" fontId="20" fillId="0" borderId="6" xfId="0" applyNumberFormat="1" applyFont="1" applyFill="1" applyBorder="1"/>
    <xf numFmtId="0" fontId="21" fillId="0" borderId="25" xfId="0" applyFont="1" applyFill="1" applyBorder="1"/>
    <xf numFmtId="0" fontId="21" fillId="0" borderId="27" xfId="0" applyFont="1" applyFill="1" applyBorder="1"/>
    <xf numFmtId="0" fontId="21" fillId="0" borderId="0" xfId="0" applyFont="1" applyFill="1" applyBorder="1"/>
    <xf numFmtId="164" fontId="21" fillId="0" borderId="0" xfId="0" applyNumberFormat="1" applyFont="1" applyFill="1" applyBorder="1"/>
    <xf numFmtId="165" fontId="20" fillId="0" borderId="0" xfId="0" applyNumberFormat="1" applyFont="1" applyFill="1" applyBorder="1"/>
    <xf numFmtId="2" fontId="20" fillId="0" borderId="18" xfId="0" applyNumberFormat="1" applyFont="1" applyFill="1" applyBorder="1" applyAlignment="1">
      <alignment horizontal="left"/>
    </xf>
    <xf numFmtId="165" fontId="20" fillId="0" borderId="24" xfId="0" applyNumberFormat="1" applyFont="1" applyFill="1" applyBorder="1"/>
    <xf numFmtId="165" fontId="20" fillId="0" borderId="22" xfId="0" applyNumberFormat="1" applyFont="1" applyFill="1" applyBorder="1" applyAlignment="1">
      <alignment horizontal="right"/>
    </xf>
    <xf numFmtId="0" fontId="26" fillId="0" borderId="13" xfId="0" applyFont="1" applyFill="1" applyBorder="1"/>
    <xf numFmtId="0" fontId="20" fillId="0" borderId="3" xfId="0" applyFont="1" applyFill="1" applyBorder="1"/>
    <xf numFmtId="164" fontId="21" fillId="0" borderId="0" xfId="0" applyNumberFormat="1" applyFont="1" applyFill="1" applyAlignment="1">
      <alignment horizontal="left"/>
    </xf>
    <xf numFmtId="3" fontId="20" fillId="0" borderId="3" xfId="0" applyNumberFormat="1" applyFont="1" applyFill="1" applyBorder="1"/>
    <xf numFmtId="0" fontId="20" fillId="0" borderId="1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7" borderId="8" xfId="0" applyFont="1" applyFill="1" applyBorder="1" applyAlignment="1">
      <alignment horizontal="left"/>
    </xf>
    <xf numFmtId="0" fontId="21" fillId="7" borderId="9" xfId="0" applyFont="1" applyFill="1" applyBorder="1" applyAlignment="1">
      <alignment horizontal="left"/>
    </xf>
    <xf numFmtId="0" fontId="20" fillId="7" borderId="6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left"/>
    </xf>
    <xf numFmtId="0" fontId="20" fillId="0" borderId="27" xfId="0" applyFont="1" applyFill="1" applyBorder="1" applyAlignment="1">
      <alignment horizontal="left"/>
    </xf>
    <xf numFmtId="0" fontId="21" fillId="0" borderId="25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1" fillId="0" borderId="35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7" borderId="1" xfId="0" applyFont="1" applyFill="1" applyBorder="1" applyAlignment="1">
      <alignment horizontal="center"/>
    </xf>
    <xf numFmtId="164" fontId="21" fillId="0" borderId="25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33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left"/>
    </xf>
    <xf numFmtId="0" fontId="21" fillId="0" borderId="29" xfId="0" applyFont="1" applyFill="1" applyBorder="1" applyAlignment="1">
      <alignment horizontal="left"/>
    </xf>
    <xf numFmtId="0" fontId="21" fillId="0" borderId="3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682"/>
  <sheetViews>
    <sheetView tabSelected="1" view="pageBreakPreview" topLeftCell="A127" zoomScaleNormal="100" zoomScaleSheetLayoutView="100" zoomScalePageLayoutView="80" workbookViewId="0">
      <selection activeCell="I98" sqref="I98"/>
    </sheetView>
  </sheetViews>
  <sheetFormatPr defaultRowHeight="18" x14ac:dyDescent="0.25"/>
  <cols>
    <col min="1" max="1" width="17.7109375" style="96" customWidth="1"/>
    <col min="2" max="2" width="36.7109375" style="96" customWidth="1"/>
    <col min="3" max="3" width="45.28515625" style="96" hidden="1" customWidth="1"/>
    <col min="4" max="4" width="44.42578125" style="96" hidden="1" customWidth="1"/>
    <col min="5" max="5" width="0.28515625" style="96" hidden="1" customWidth="1"/>
    <col min="6" max="6" width="0.42578125" style="96" hidden="1" customWidth="1"/>
    <col min="7" max="7" width="24.42578125" style="96" customWidth="1"/>
    <col min="8" max="8" width="25.42578125" style="96" bestFit="1" customWidth="1"/>
    <col min="9" max="9" width="26.28515625" style="96" customWidth="1"/>
    <col min="10" max="10" width="26" style="96" customWidth="1"/>
    <col min="11" max="11" width="24.28515625" style="98" customWidth="1"/>
    <col min="12" max="12" width="24.42578125" style="96" customWidth="1"/>
    <col min="13" max="13" width="12.85546875" style="96" bestFit="1" customWidth="1"/>
    <col min="14" max="16384" width="9.140625" style="96"/>
  </cols>
  <sheetData>
    <row r="1" spans="1:20" x14ac:dyDescent="0.25">
      <c r="H1" s="97"/>
    </row>
    <row r="2" spans="1:20" x14ac:dyDescent="0.25">
      <c r="A2" s="519" t="s">
        <v>539</v>
      </c>
      <c r="B2" s="536"/>
      <c r="C2" s="536"/>
      <c r="D2" s="536"/>
      <c r="E2" s="536"/>
      <c r="F2" s="536"/>
      <c r="G2" s="99"/>
      <c r="H2" s="100"/>
      <c r="I2" s="101" t="s">
        <v>856</v>
      </c>
      <c r="J2" s="101" t="s">
        <v>1093</v>
      </c>
      <c r="K2" s="102" t="s">
        <v>1075</v>
      </c>
    </row>
    <row r="3" spans="1:20" x14ac:dyDescent="0.25">
      <c r="A3" s="103" t="s">
        <v>76</v>
      </c>
      <c r="B3" s="104"/>
      <c r="C3" s="104" t="s">
        <v>27</v>
      </c>
      <c r="D3" s="104" t="s">
        <v>28</v>
      </c>
      <c r="E3" s="104" t="s">
        <v>29</v>
      </c>
      <c r="F3" s="104" t="s">
        <v>404</v>
      </c>
      <c r="G3" s="105" t="s">
        <v>846</v>
      </c>
      <c r="H3" s="105" t="s">
        <v>855</v>
      </c>
      <c r="I3" s="106">
        <v>43008</v>
      </c>
      <c r="J3" s="105" t="s">
        <v>857</v>
      </c>
      <c r="K3" s="107" t="s">
        <v>1076</v>
      </c>
    </row>
    <row r="4" spans="1:20" ht="25.5" x14ac:dyDescent="0.35">
      <c r="A4" s="108" t="s">
        <v>75</v>
      </c>
      <c r="B4" s="109" t="s">
        <v>83</v>
      </c>
      <c r="C4" s="110">
        <v>379814</v>
      </c>
      <c r="D4" s="111">
        <v>397000</v>
      </c>
      <c r="E4" s="110">
        <v>397000</v>
      </c>
      <c r="F4" s="111">
        <v>426533</v>
      </c>
      <c r="G4" s="112">
        <v>597477</v>
      </c>
      <c r="H4" s="113">
        <v>569440</v>
      </c>
      <c r="I4" s="112">
        <f>+H4+19000+7000</f>
        <v>595440</v>
      </c>
      <c r="J4" s="112">
        <v>595000</v>
      </c>
      <c r="K4" s="114">
        <v>595000</v>
      </c>
      <c r="L4" s="115"/>
      <c r="M4" s="115"/>
      <c r="N4" s="115"/>
      <c r="O4" s="115"/>
      <c r="P4" s="115"/>
      <c r="Q4" s="115"/>
      <c r="R4" s="115"/>
      <c r="S4" s="115"/>
      <c r="T4" s="115"/>
    </row>
    <row r="5" spans="1:20" x14ac:dyDescent="0.25">
      <c r="A5" s="116" t="s">
        <v>77</v>
      </c>
      <c r="B5" s="117" t="s">
        <v>84</v>
      </c>
      <c r="C5" s="118">
        <v>522881</v>
      </c>
      <c r="D5" s="119">
        <v>304910</v>
      </c>
      <c r="E5" s="118">
        <v>457365</v>
      </c>
      <c r="F5" s="119">
        <v>19000</v>
      </c>
      <c r="G5" s="120">
        <v>16500</v>
      </c>
      <c r="H5" s="120">
        <v>12864</v>
      </c>
      <c r="I5" s="120">
        <f>+H5+7000-800</f>
        <v>19064</v>
      </c>
      <c r="J5" s="121">
        <v>19000</v>
      </c>
      <c r="K5" s="122">
        <v>19000</v>
      </c>
    </row>
    <row r="6" spans="1:20" x14ac:dyDescent="0.25">
      <c r="A6" s="116" t="s">
        <v>78</v>
      </c>
      <c r="B6" s="117" t="s">
        <v>85</v>
      </c>
      <c r="C6" s="118">
        <v>535536</v>
      </c>
      <c r="D6" s="119">
        <v>357024</v>
      </c>
      <c r="E6" s="118">
        <v>535536</v>
      </c>
      <c r="F6" s="119">
        <v>17000</v>
      </c>
      <c r="G6" s="120">
        <v>11000</v>
      </c>
      <c r="H6" s="120">
        <v>6476</v>
      </c>
      <c r="I6" s="120">
        <f>+H6+5800</f>
        <v>12276</v>
      </c>
      <c r="J6" s="120">
        <v>12500</v>
      </c>
      <c r="K6" s="123">
        <v>12500</v>
      </c>
    </row>
    <row r="7" spans="1:20" x14ac:dyDescent="0.25">
      <c r="A7" s="116" t="s">
        <v>79</v>
      </c>
      <c r="B7" s="117" t="s">
        <v>86</v>
      </c>
      <c r="C7" s="118">
        <v>400000</v>
      </c>
      <c r="D7" s="119">
        <v>314443</v>
      </c>
      <c r="E7" s="124">
        <v>471600</v>
      </c>
      <c r="F7" s="119">
        <v>0</v>
      </c>
      <c r="G7" s="120">
        <v>3870</v>
      </c>
      <c r="H7" s="120">
        <v>2756</v>
      </c>
      <c r="I7" s="120">
        <f>+H7+1500</f>
        <v>4256</v>
      </c>
      <c r="J7" s="120">
        <v>4250</v>
      </c>
      <c r="K7" s="123">
        <v>4250</v>
      </c>
    </row>
    <row r="8" spans="1:20" x14ac:dyDescent="0.25">
      <c r="A8" s="116" t="s">
        <v>80</v>
      </c>
      <c r="B8" s="117" t="s">
        <v>87</v>
      </c>
      <c r="C8" s="118">
        <v>25000</v>
      </c>
      <c r="D8" s="119">
        <v>14810</v>
      </c>
      <c r="E8" s="118">
        <v>22215</v>
      </c>
      <c r="F8" s="119">
        <v>-25000</v>
      </c>
      <c r="G8" s="120">
        <v>-22000</v>
      </c>
      <c r="H8" s="121">
        <v>-60090.95</v>
      </c>
      <c r="I8" s="120">
        <f>+H8-1500</f>
        <v>-61590.95</v>
      </c>
      <c r="J8" s="120">
        <v>-61000</v>
      </c>
      <c r="K8" s="123">
        <v>-61000</v>
      </c>
    </row>
    <row r="9" spans="1:20" x14ac:dyDescent="0.25">
      <c r="A9" s="116" t="s">
        <v>81</v>
      </c>
      <c r="B9" s="117" t="s">
        <v>88</v>
      </c>
      <c r="C9" s="118">
        <v>13000</v>
      </c>
      <c r="D9" s="119">
        <v>8909</v>
      </c>
      <c r="E9" s="118">
        <v>13000</v>
      </c>
      <c r="F9" s="119">
        <v>0</v>
      </c>
      <c r="G9" s="120">
        <v>-3800</v>
      </c>
      <c r="H9" s="120">
        <v>-2809</v>
      </c>
      <c r="I9" s="120">
        <v>-4256</v>
      </c>
      <c r="J9" s="120">
        <v>-4250</v>
      </c>
      <c r="K9" s="123">
        <v>-4250</v>
      </c>
    </row>
    <row r="10" spans="1:20" x14ac:dyDescent="0.25">
      <c r="A10" s="125" t="s">
        <v>82</v>
      </c>
      <c r="B10" s="126" t="s">
        <v>89</v>
      </c>
      <c r="C10" s="127">
        <v>111986</v>
      </c>
      <c r="D10" s="128">
        <v>66126</v>
      </c>
      <c r="E10" s="127">
        <v>99189</v>
      </c>
      <c r="F10" s="128">
        <v>0</v>
      </c>
      <c r="G10" s="129">
        <v>0</v>
      </c>
      <c r="H10" s="129"/>
      <c r="I10" s="129"/>
      <c r="J10" s="130">
        <v>0</v>
      </c>
      <c r="K10" s="131">
        <v>0</v>
      </c>
    </row>
    <row r="11" spans="1:20" ht="18.75" thickBot="1" x14ac:dyDescent="0.3">
      <c r="A11" s="132" t="s">
        <v>90</v>
      </c>
      <c r="B11" s="133"/>
      <c r="C11" s="134"/>
      <c r="D11" s="135"/>
      <c r="E11" s="134"/>
      <c r="F11" s="135">
        <f t="shared" ref="F11:K11" si="0">SUM(F4:F10)</f>
        <v>437533</v>
      </c>
      <c r="G11" s="136">
        <f t="shared" si="0"/>
        <v>603047</v>
      </c>
      <c r="H11" s="136">
        <f t="shared" si="0"/>
        <v>528636.05000000005</v>
      </c>
      <c r="I11" s="136">
        <f t="shared" si="0"/>
        <v>565189.05000000005</v>
      </c>
      <c r="J11" s="136">
        <f t="shared" si="0"/>
        <v>565500</v>
      </c>
      <c r="K11" s="137">
        <f t="shared" si="0"/>
        <v>565500</v>
      </c>
    </row>
    <row r="12" spans="1:20" x14ac:dyDescent="0.25">
      <c r="A12" s="138" t="s">
        <v>91</v>
      </c>
      <c r="B12" s="116" t="s">
        <v>95</v>
      </c>
      <c r="C12" s="118">
        <v>22500</v>
      </c>
      <c r="D12" s="119">
        <v>17732</v>
      </c>
      <c r="E12" s="118">
        <v>26600</v>
      </c>
      <c r="F12" s="119">
        <v>14000</v>
      </c>
      <c r="G12" s="120">
        <v>12500</v>
      </c>
      <c r="H12" s="120">
        <v>14963</v>
      </c>
      <c r="I12" s="120">
        <f>+H12+5900-2000-3</f>
        <v>18860</v>
      </c>
      <c r="J12" s="120">
        <v>18900</v>
      </c>
      <c r="K12" s="123">
        <v>18900</v>
      </c>
    </row>
    <row r="13" spans="1:20" x14ac:dyDescent="0.25">
      <c r="A13" s="138" t="s">
        <v>92</v>
      </c>
      <c r="B13" s="116" t="s">
        <v>96</v>
      </c>
      <c r="C13" s="118">
        <v>20000</v>
      </c>
      <c r="D13" s="119">
        <v>0</v>
      </c>
      <c r="E13" s="118">
        <v>0</v>
      </c>
      <c r="F13" s="119">
        <v>130000</v>
      </c>
      <c r="G13" s="120">
        <v>121300</v>
      </c>
      <c r="H13" s="120">
        <v>71280</v>
      </c>
      <c r="I13" s="120">
        <f>+H13+61000</f>
        <v>132280</v>
      </c>
      <c r="J13" s="120">
        <v>135000</v>
      </c>
      <c r="K13" s="123">
        <v>135000</v>
      </c>
    </row>
    <row r="14" spans="1:20" x14ac:dyDescent="0.25">
      <c r="A14" s="138" t="s">
        <v>93</v>
      </c>
      <c r="B14" s="116" t="s">
        <v>1</v>
      </c>
      <c r="C14" s="118">
        <v>500</v>
      </c>
      <c r="D14" s="119">
        <v>2582</v>
      </c>
      <c r="E14" s="118">
        <v>3800</v>
      </c>
      <c r="F14" s="119">
        <v>14225</v>
      </c>
      <c r="G14" s="120">
        <v>13500</v>
      </c>
      <c r="H14" s="120">
        <v>20891</v>
      </c>
      <c r="I14" s="120">
        <f>+H14+6000-1</f>
        <v>26890</v>
      </c>
      <c r="J14" s="120">
        <v>26890</v>
      </c>
      <c r="K14" s="123">
        <v>26890</v>
      </c>
    </row>
    <row r="15" spans="1:20" x14ac:dyDescent="0.25">
      <c r="A15" s="138" t="s">
        <v>94</v>
      </c>
      <c r="B15" s="116" t="s">
        <v>97</v>
      </c>
      <c r="C15" s="118">
        <v>100000</v>
      </c>
      <c r="D15" s="119">
        <v>69226</v>
      </c>
      <c r="E15" s="118">
        <v>103000</v>
      </c>
      <c r="F15" s="119">
        <v>14000</v>
      </c>
      <c r="G15" s="139">
        <v>10900</v>
      </c>
      <c r="H15" s="121">
        <v>4745</v>
      </c>
      <c r="I15" s="121">
        <f>+H15+3000</f>
        <v>7745</v>
      </c>
      <c r="J15" s="139">
        <v>9000</v>
      </c>
      <c r="K15" s="140">
        <v>9000</v>
      </c>
    </row>
    <row r="16" spans="1:20" x14ac:dyDescent="0.25">
      <c r="A16" s="138" t="s">
        <v>698</v>
      </c>
      <c r="B16" s="116" t="s">
        <v>574</v>
      </c>
      <c r="C16" s="118">
        <v>500</v>
      </c>
      <c r="D16" s="119">
        <v>740</v>
      </c>
      <c r="E16" s="118">
        <v>1100</v>
      </c>
      <c r="F16" s="119">
        <v>0</v>
      </c>
      <c r="G16" s="120">
        <v>200</v>
      </c>
      <c r="H16" s="120">
        <v>0</v>
      </c>
      <c r="I16" s="120">
        <v>0</v>
      </c>
      <c r="J16" s="120">
        <v>200</v>
      </c>
      <c r="K16" s="123">
        <v>200</v>
      </c>
    </row>
    <row r="17" spans="1:11" x14ac:dyDescent="0.25">
      <c r="A17" s="141" t="s">
        <v>699</v>
      </c>
      <c r="B17" s="125" t="s">
        <v>700</v>
      </c>
      <c r="C17" s="127">
        <v>500</v>
      </c>
      <c r="D17" s="128">
        <v>740</v>
      </c>
      <c r="E17" s="127">
        <v>1100</v>
      </c>
      <c r="F17" s="128">
        <v>0</v>
      </c>
      <c r="G17" s="129">
        <v>10500</v>
      </c>
      <c r="H17" s="129">
        <v>4036</v>
      </c>
      <c r="I17" s="129">
        <f>+H17+2000+4000-1</f>
        <v>10035</v>
      </c>
      <c r="J17" s="129">
        <v>10500</v>
      </c>
      <c r="K17" s="131">
        <v>10500</v>
      </c>
    </row>
    <row r="18" spans="1:11" ht="18.75" thickBot="1" x14ac:dyDescent="0.3">
      <c r="A18" s="142" t="s">
        <v>98</v>
      </c>
      <c r="B18" s="143"/>
      <c r="C18" s="134"/>
      <c r="D18" s="135"/>
      <c r="E18" s="134"/>
      <c r="F18" s="135">
        <f>SUM(F12:F16)</f>
        <v>172225</v>
      </c>
      <c r="G18" s="137">
        <f>SUM(G12:G17)</f>
        <v>168900</v>
      </c>
      <c r="H18" s="136">
        <f t="shared" ref="H18:J18" si="1">SUM(H12:H17)</f>
        <v>115915</v>
      </c>
      <c r="I18" s="136">
        <f t="shared" si="1"/>
        <v>195810</v>
      </c>
      <c r="J18" s="136">
        <f t="shared" si="1"/>
        <v>200490</v>
      </c>
      <c r="K18" s="136">
        <f>SUM(K12:K17)</f>
        <v>200490</v>
      </c>
    </row>
    <row r="19" spans="1:11" s="146" customFormat="1" x14ac:dyDescent="0.25">
      <c r="A19" s="138" t="s">
        <v>99</v>
      </c>
      <c r="B19" s="116" t="s">
        <v>101</v>
      </c>
      <c r="C19" s="144">
        <v>850</v>
      </c>
      <c r="D19" s="145">
        <v>906</v>
      </c>
      <c r="E19" s="144">
        <v>1359</v>
      </c>
      <c r="F19" s="145">
        <v>1000000</v>
      </c>
      <c r="G19" s="121">
        <v>1025000</v>
      </c>
      <c r="H19" s="120">
        <v>676808</v>
      </c>
      <c r="I19" s="120">
        <f>+H19+301000+55000</f>
        <v>1032808</v>
      </c>
      <c r="J19" s="121">
        <f>+I19*1.01</f>
        <v>1043136.08</v>
      </c>
      <c r="K19" s="121">
        <f>+I19*1.01</f>
        <v>1043136.08</v>
      </c>
    </row>
    <row r="20" spans="1:11" s="146" customFormat="1" x14ac:dyDescent="0.25">
      <c r="A20" s="141" t="s">
        <v>100</v>
      </c>
      <c r="B20" s="125" t="s">
        <v>102</v>
      </c>
      <c r="C20" s="144">
        <v>8000</v>
      </c>
      <c r="D20" s="145">
        <v>7605</v>
      </c>
      <c r="E20" s="144">
        <v>11400</v>
      </c>
      <c r="F20" s="145">
        <v>6800</v>
      </c>
      <c r="G20" s="120">
        <v>9800</v>
      </c>
      <c r="H20" s="129">
        <v>4250</v>
      </c>
      <c r="I20" s="120">
        <f>+H20+4000</f>
        <v>8250</v>
      </c>
      <c r="J20" s="129">
        <v>8500</v>
      </c>
      <c r="K20" s="147">
        <v>8500</v>
      </c>
    </row>
    <row r="21" spans="1:11" s="146" customFormat="1" ht="18.75" thickBot="1" x14ac:dyDescent="0.3">
      <c r="A21" s="142" t="s">
        <v>103</v>
      </c>
      <c r="B21" s="148"/>
      <c r="C21" s="149"/>
      <c r="D21" s="150"/>
      <c r="E21" s="149"/>
      <c r="F21" s="150">
        <f t="shared" ref="F21:K21" si="2">SUM(F19:F20)</f>
        <v>1006800</v>
      </c>
      <c r="G21" s="136">
        <f t="shared" si="2"/>
        <v>1034800</v>
      </c>
      <c r="H21" s="136">
        <f t="shared" si="2"/>
        <v>681058</v>
      </c>
      <c r="I21" s="136">
        <f t="shared" si="2"/>
        <v>1041058</v>
      </c>
      <c r="J21" s="136">
        <f t="shared" si="2"/>
        <v>1051636.08</v>
      </c>
      <c r="K21" s="151">
        <f t="shared" si="2"/>
        <v>1051636.08</v>
      </c>
    </row>
    <row r="22" spans="1:11" x14ac:dyDescent="0.25">
      <c r="A22" s="138" t="s">
        <v>104</v>
      </c>
      <c r="B22" s="116" t="s">
        <v>109</v>
      </c>
      <c r="C22" s="118">
        <v>2500</v>
      </c>
      <c r="D22" s="119">
        <v>2125</v>
      </c>
      <c r="E22" s="118">
        <v>3187</v>
      </c>
      <c r="F22" s="119">
        <v>0</v>
      </c>
      <c r="G22" s="120">
        <v>0</v>
      </c>
      <c r="H22" s="120">
        <v>0</v>
      </c>
      <c r="I22" s="120">
        <v>0</v>
      </c>
      <c r="J22" s="120">
        <v>0</v>
      </c>
      <c r="K22" s="123">
        <v>0</v>
      </c>
    </row>
    <row r="23" spans="1:11" x14ac:dyDescent="0.25">
      <c r="A23" s="138" t="s">
        <v>349</v>
      </c>
      <c r="B23" s="116" t="s">
        <v>329</v>
      </c>
      <c r="C23" s="118"/>
      <c r="D23" s="119"/>
      <c r="E23" s="118"/>
      <c r="F23" s="119">
        <v>500</v>
      </c>
      <c r="G23" s="120">
        <v>400</v>
      </c>
      <c r="H23" s="120">
        <v>526</v>
      </c>
      <c r="I23" s="120">
        <v>600</v>
      </c>
      <c r="J23" s="120">
        <v>600</v>
      </c>
      <c r="K23" s="123">
        <v>600</v>
      </c>
    </row>
    <row r="24" spans="1:11" x14ac:dyDescent="0.25">
      <c r="A24" s="138" t="s">
        <v>105</v>
      </c>
      <c r="B24" s="116" t="s">
        <v>110</v>
      </c>
      <c r="C24" s="152">
        <v>100</v>
      </c>
      <c r="D24" s="153">
        <v>15</v>
      </c>
      <c r="E24" s="152">
        <v>25</v>
      </c>
      <c r="F24" s="153">
        <v>50000</v>
      </c>
      <c r="G24" s="120">
        <v>20000</v>
      </c>
      <c r="H24" s="121">
        <v>7988</v>
      </c>
      <c r="I24" s="121">
        <f>+H24+5000+12</f>
        <v>13000</v>
      </c>
      <c r="J24" s="120">
        <v>15000</v>
      </c>
      <c r="K24" s="123">
        <v>15000</v>
      </c>
    </row>
    <row r="25" spans="1:11" x14ac:dyDescent="0.25">
      <c r="A25" s="138" t="s">
        <v>106</v>
      </c>
      <c r="B25" s="116" t="s">
        <v>0</v>
      </c>
      <c r="C25" s="152">
        <v>3500</v>
      </c>
      <c r="D25" s="153">
        <v>1725</v>
      </c>
      <c r="E25" s="152">
        <v>2500</v>
      </c>
      <c r="F25" s="153">
        <v>100</v>
      </c>
      <c r="G25" s="120">
        <v>0</v>
      </c>
      <c r="H25" s="121">
        <v>600</v>
      </c>
      <c r="I25" s="121">
        <v>600</v>
      </c>
      <c r="J25" s="120">
        <v>600</v>
      </c>
      <c r="K25" s="123">
        <v>600</v>
      </c>
    </row>
    <row r="26" spans="1:11" x14ac:dyDescent="0.25">
      <c r="A26" s="138" t="s">
        <v>107</v>
      </c>
      <c r="B26" s="116" t="s">
        <v>18</v>
      </c>
      <c r="C26" s="118">
        <v>1000</v>
      </c>
      <c r="D26" s="119">
        <v>1043</v>
      </c>
      <c r="E26" s="118">
        <v>1564</v>
      </c>
      <c r="F26" s="119">
        <v>3000</v>
      </c>
      <c r="G26" s="120">
        <v>1000</v>
      </c>
      <c r="H26" s="120">
        <v>600</v>
      </c>
      <c r="I26" s="120">
        <v>800</v>
      </c>
      <c r="J26" s="120">
        <v>1000</v>
      </c>
      <c r="K26" s="123">
        <v>1000</v>
      </c>
    </row>
    <row r="27" spans="1:11" x14ac:dyDescent="0.25">
      <c r="A27" s="141" t="s">
        <v>108</v>
      </c>
      <c r="B27" s="125" t="s">
        <v>111</v>
      </c>
      <c r="C27" s="118"/>
      <c r="D27" s="119"/>
      <c r="E27" s="118"/>
      <c r="F27" s="119">
        <v>400</v>
      </c>
      <c r="G27" s="120">
        <v>600</v>
      </c>
      <c r="H27" s="120">
        <v>305</v>
      </c>
      <c r="I27" s="120">
        <v>600</v>
      </c>
      <c r="J27" s="120">
        <v>600</v>
      </c>
      <c r="K27" s="131">
        <v>600</v>
      </c>
    </row>
    <row r="28" spans="1:11" ht="18.75" thickBot="1" x14ac:dyDescent="0.3">
      <c r="A28" s="142" t="s">
        <v>112</v>
      </c>
      <c r="B28" s="148"/>
      <c r="C28" s="149"/>
      <c r="D28" s="150"/>
      <c r="E28" s="149"/>
      <c r="F28" s="150">
        <f t="shared" ref="F28:K28" si="3">SUM(F22:F27)</f>
        <v>54000</v>
      </c>
      <c r="G28" s="136">
        <f t="shared" si="3"/>
        <v>22000</v>
      </c>
      <c r="H28" s="136">
        <f t="shared" si="3"/>
        <v>10019</v>
      </c>
      <c r="I28" s="136">
        <f t="shared" si="3"/>
        <v>15600</v>
      </c>
      <c r="J28" s="136">
        <f t="shared" si="3"/>
        <v>17800</v>
      </c>
      <c r="K28" s="154">
        <f t="shared" si="3"/>
        <v>17800</v>
      </c>
    </row>
    <row r="29" spans="1:11" x14ac:dyDescent="0.25">
      <c r="A29" s="138" t="s">
        <v>113</v>
      </c>
      <c r="B29" s="116" t="s">
        <v>116</v>
      </c>
      <c r="C29" s="118">
        <v>5000</v>
      </c>
      <c r="D29" s="119">
        <v>6181</v>
      </c>
      <c r="E29" s="118">
        <v>9200</v>
      </c>
      <c r="F29" s="119">
        <v>260000</v>
      </c>
      <c r="G29" s="120">
        <v>180000</v>
      </c>
      <c r="H29" s="120">
        <v>136297</v>
      </c>
      <c r="I29" s="120">
        <f>+H29+36703+13000</f>
        <v>186000</v>
      </c>
      <c r="J29" s="120">
        <v>190000</v>
      </c>
      <c r="K29" s="123">
        <v>190000</v>
      </c>
    </row>
    <row r="30" spans="1:11" x14ac:dyDescent="0.25">
      <c r="A30" s="138" t="s">
        <v>114</v>
      </c>
      <c r="B30" s="116" t="s">
        <v>117</v>
      </c>
      <c r="C30" s="118">
        <v>1500</v>
      </c>
      <c r="D30" s="119">
        <v>690</v>
      </c>
      <c r="E30" s="118">
        <v>1000</v>
      </c>
      <c r="F30" s="119">
        <v>3000</v>
      </c>
      <c r="G30" s="120">
        <v>300</v>
      </c>
      <c r="H30" s="120">
        <v>2525</v>
      </c>
      <c r="I30" s="120">
        <v>2600</v>
      </c>
      <c r="J30" s="120">
        <v>2600</v>
      </c>
      <c r="K30" s="123">
        <v>2600</v>
      </c>
    </row>
    <row r="31" spans="1:11" x14ac:dyDescent="0.25">
      <c r="A31" s="141" t="s">
        <v>115</v>
      </c>
      <c r="B31" s="125" t="s">
        <v>118</v>
      </c>
      <c r="C31" s="118">
        <v>600</v>
      </c>
      <c r="D31" s="119">
        <v>555</v>
      </c>
      <c r="E31" s="118">
        <v>830</v>
      </c>
      <c r="F31" s="119">
        <v>900</v>
      </c>
      <c r="G31" s="120">
        <v>1250</v>
      </c>
      <c r="H31" s="120">
        <v>630</v>
      </c>
      <c r="I31" s="120">
        <v>1250</v>
      </c>
      <c r="J31" s="120">
        <v>1250</v>
      </c>
      <c r="K31" s="131">
        <v>1250</v>
      </c>
    </row>
    <row r="32" spans="1:11" ht="18.75" thickBot="1" x14ac:dyDescent="0.3">
      <c r="A32" s="142" t="s">
        <v>119</v>
      </c>
      <c r="B32" s="148"/>
      <c r="C32" s="149"/>
      <c r="D32" s="150"/>
      <c r="E32" s="149"/>
      <c r="F32" s="150">
        <f t="shared" ref="F32:K32" si="4">SUM(F29:F31)</f>
        <v>263900</v>
      </c>
      <c r="G32" s="136">
        <f t="shared" si="4"/>
        <v>181550</v>
      </c>
      <c r="H32" s="136">
        <f t="shared" si="4"/>
        <v>139452</v>
      </c>
      <c r="I32" s="136">
        <f t="shared" si="4"/>
        <v>189850</v>
      </c>
      <c r="J32" s="136">
        <f t="shared" si="4"/>
        <v>193850</v>
      </c>
      <c r="K32" s="154">
        <f t="shared" si="4"/>
        <v>193850</v>
      </c>
    </row>
    <row r="33" spans="1:11" x14ac:dyDescent="0.25">
      <c r="A33" s="141" t="s">
        <v>120</v>
      </c>
      <c r="B33" s="125" t="s">
        <v>358</v>
      </c>
      <c r="C33" s="144">
        <v>14000</v>
      </c>
      <c r="D33" s="145">
        <v>14881</v>
      </c>
      <c r="E33" s="144">
        <v>22321</v>
      </c>
      <c r="F33" s="145">
        <v>584000</v>
      </c>
      <c r="G33" s="129">
        <v>742000</v>
      </c>
      <c r="H33" s="129">
        <v>501348</v>
      </c>
      <c r="I33" s="129">
        <f>+H33+250000</f>
        <v>751348</v>
      </c>
      <c r="J33" s="129">
        <v>752000</v>
      </c>
      <c r="K33" s="129">
        <v>752000</v>
      </c>
    </row>
    <row r="34" spans="1:11" ht="18.75" thickBot="1" x14ac:dyDescent="0.3">
      <c r="A34" s="142" t="s">
        <v>121</v>
      </c>
      <c r="B34" s="148"/>
      <c r="C34" s="149"/>
      <c r="D34" s="150"/>
      <c r="E34" s="149"/>
      <c r="F34" s="150">
        <f t="shared" ref="F34:K34" si="5">SUM(F33)</f>
        <v>584000</v>
      </c>
      <c r="G34" s="155">
        <f t="shared" si="5"/>
        <v>742000</v>
      </c>
      <c r="H34" s="136">
        <f t="shared" si="5"/>
        <v>501348</v>
      </c>
      <c r="I34" s="136">
        <f t="shared" si="5"/>
        <v>751348</v>
      </c>
      <c r="J34" s="136">
        <f t="shared" si="5"/>
        <v>752000</v>
      </c>
      <c r="K34" s="136">
        <f t="shared" si="5"/>
        <v>752000</v>
      </c>
    </row>
    <row r="35" spans="1:11" s="157" customFormat="1" x14ac:dyDescent="0.25">
      <c r="A35" s="138" t="s">
        <v>122</v>
      </c>
      <c r="B35" s="116" t="s">
        <v>126</v>
      </c>
      <c r="C35" s="144">
        <v>1200</v>
      </c>
      <c r="D35" s="145">
        <v>0</v>
      </c>
      <c r="E35" s="144">
        <v>0</v>
      </c>
      <c r="F35" s="156">
        <v>31000</v>
      </c>
      <c r="G35" s="120">
        <v>16800</v>
      </c>
      <c r="H35" s="120">
        <v>5250</v>
      </c>
      <c r="I35" s="121">
        <v>15000</v>
      </c>
      <c r="J35" s="120">
        <v>16000</v>
      </c>
      <c r="K35" s="120">
        <v>16000</v>
      </c>
    </row>
    <row r="36" spans="1:11" x14ac:dyDescent="0.25">
      <c r="A36" s="158" t="s">
        <v>123</v>
      </c>
      <c r="B36" s="159" t="s">
        <v>127</v>
      </c>
      <c r="C36" s="144">
        <v>300</v>
      </c>
      <c r="D36" s="145">
        <v>0</v>
      </c>
      <c r="E36" s="144">
        <v>0</v>
      </c>
      <c r="F36" s="145">
        <v>2800</v>
      </c>
      <c r="G36" s="120">
        <v>2000</v>
      </c>
      <c r="H36" s="120">
        <v>2685</v>
      </c>
      <c r="I36" s="120">
        <v>2800</v>
      </c>
      <c r="J36" s="120">
        <v>2800</v>
      </c>
      <c r="K36" s="120">
        <v>2800</v>
      </c>
    </row>
    <row r="37" spans="1:11" x14ac:dyDescent="0.25">
      <c r="A37" s="158" t="s">
        <v>124</v>
      </c>
      <c r="B37" s="159" t="s">
        <v>128</v>
      </c>
      <c r="C37" s="144"/>
      <c r="D37" s="145"/>
      <c r="E37" s="144"/>
      <c r="F37" s="145">
        <v>125</v>
      </c>
      <c r="G37" s="120">
        <v>130</v>
      </c>
      <c r="H37" s="120">
        <v>20</v>
      </c>
      <c r="I37" s="120">
        <v>100</v>
      </c>
      <c r="J37" s="120">
        <v>100</v>
      </c>
      <c r="K37" s="120">
        <v>100</v>
      </c>
    </row>
    <row r="38" spans="1:11" x14ac:dyDescent="0.25">
      <c r="A38" s="138" t="s">
        <v>125</v>
      </c>
      <c r="B38" s="116" t="s">
        <v>129</v>
      </c>
      <c r="C38" s="144">
        <v>500</v>
      </c>
      <c r="D38" s="145">
        <v>309</v>
      </c>
      <c r="E38" s="144">
        <v>463</v>
      </c>
      <c r="F38" s="145">
        <v>13000</v>
      </c>
      <c r="G38" s="120">
        <v>11400</v>
      </c>
      <c r="H38" s="121">
        <v>700</v>
      </c>
      <c r="I38" s="120">
        <f>+H38+9950</f>
        <v>10650</v>
      </c>
      <c r="J38" s="120">
        <v>11000</v>
      </c>
      <c r="K38" s="120">
        <v>11000</v>
      </c>
    </row>
    <row r="39" spans="1:11" x14ac:dyDescent="0.25">
      <c r="A39" s="141" t="s">
        <v>1051</v>
      </c>
      <c r="B39" s="125" t="s">
        <v>1052</v>
      </c>
      <c r="C39" s="144"/>
      <c r="D39" s="145"/>
      <c r="E39" s="144"/>
      <c r="F39" s="145"/>
      <c r="G39" s="129">
        <v>0</v>
      </c>
      <c r="H39" s="147">
        <v>0</v>
      </c>
      <c r="I39" s="129">
        <v>0</v>
      </c>
      <c r="J39" s="129">
        <v>10000</v>
      </c>
      <c r="K39" s="129">
        <v>10000</v>
      </c>
    </row>
    <row r="40" spans="1:11" ht="18.75" thickBot="1" x14ac:dyDescent="0.3">
      <c r="A40" s="142" t="s">
        <v>130</v>
      </c>
      <c r="B40" s="148"/>
      <c r="C40" s="149"/>
      <c r="D40" s="150"/>
      <c r="E40" s="149"/>
      <c r="F40" s="150">
        <f>SUM(F35:F38)</f>
        <v>46925</v>
      </c>
      <c r="G40" s="136">
        <f>SUM(G35:G39)</f>
        <v>30330</v>
      </c>
      <c r="H40" s="136">
        <f>SUM(H35:H39)</f>
        <v>8655</v>
      </c>
      <c r="I40" s="136">
        <f>SUM(I35:I39)</f>
        <v>28550</v>
      </c>
      <c r="J40" s="136">
        <f>SUM(J35:J39)</f>
        <v>39900</v>
      </c>
      <c r="K40" s="136">
        <f>SUM(K35:K39)</f>
        <v>39900</v>
      </c>
    </row>
    <row r="41" spans="1:11" x14ac:dyDescent="0.25">
      <c r="A41" s="160"/>
      <c r="B41" s="117"/>
      <c r="C41" s="118"/>
      <c r="D41" s="119"/>
      <c r="E41" s="118"/>
      <c r="F41" s="119"/>
      <c r="G41" s="161"/>
      <c r="H41" s="161"/>
      <c r="I41" s="161"/>
      <c r="J41" s="161"/>
      <c r="K41" s="161"/>
    </row>
    <row r="42" spans="1:11" x14ac:dyDescent="0.25">
      <c r="A42" s="162"/>
      <c r="B42" s="98"/>
      <c r="C42" s="144"/>
      <c r="D42" s="145"/>
      <c r="E42" s="144"/>
      <c r="F42" s="145"/>
      <c r="G42" s="163"/>
      <c r="H42" s="163"/>
      <c r="I42" s="163"/>
      <c r="J42" s="163"/>
      <c r="K42" s="163"/>
    </row>
    <row r="43" spans="1:11" x14ac:dyDescent="0.25">
      <c r="A43" s="438" t="s">
        <v>131</v>
      </c>
      <c r="B43" s="439" t="s">
        <v>138</v>
      </c>
      <c r="C43" s="178">
        <v>75</v>
      </c>
      <c r="D43" s="156">
        <v>42</v>
      </c>
      <c r="E43" s="178">
        <v>63</v>
      </c>
      <c r="F43" s="156">
        <v>579482</v>
      </c>
      <c r="G43" s="112">
        <v>480000</v>
      </c>
      <c r="H43" s="112">
        <v>320000</v>
      </c>
      <c r="I43" s="112">
        <f>+H43+160000</f>
        <v>480000</v>
      </c>
      <c r="J43" s="112">
        <f>100000*12</f>
        <v>1200000</v>
      </c>
      <c r="K43" s="112">
        <v>1150000</v>
      </c>
    </row>
    <row r="44" spans="1:11" x14ac:dyDescent="0.25">
      <c r="A44" s="158" t="s">
        <v>132</v>
      </c>
      <c r="B44" s="159" t="s">
        <v>139</v>
      </c>
      <c r="C44" s="178">
        <v>25</v>
      </c>
      <c r="D44" s="156">
        <v>4</v>
      </c>
      <c r="E44" s="178">
        <v>5</v>
      </c>
      <c r="F44" s="156">
        <v>65000</v>
      </c>
      <c r="G44" s="121">
        <v>240000</v>
      </c>
      <c r="H44" s="121">
        <v>99000</v>
      </c>
      <c r="I44" s="121">
        <f>+H44+48000+48000</f>
        <v>195000</v>
      </c>
      <c r="J44" s="121">
        <v>200000</v>
      </c>
      <c r="K44" s="121">
        <v>200000</v>
      </c>
    </row>
    <row r="45" spans="1:11" s="164" customFormat="1" x14ac:dyDescent="0.25">
      <c r="A45" s="158" t="s">
        <v>686</v>
      </c>
      <c r="B45" s="159" t="s">
        <v>687</v>
      </c>
      <c r="C45" s="178"/>
      <c r="D45" s="156"/>
      <c r="E45" s="178"/>
      <c r="F45" s="156"/>
      <c r="G45" s="121">
        <v>96000</v>
      </c>
      <c r="H45" s="121">
        <v>72000</v>
      </c>
      <c r="I45" s="121">
        <f>+H45+(4*2300)</f>
        <v>81200</v>
      </c>
      <c r="J45" s="121">
        <v>85000</v>
      </c>
      <c r="K45" s="121">
        <v>96000</v>
      </c>
    </row>
    <row r="46" spans="1:11" x14ac:dyDescent="0.25">
      <c r="A46" s="138" t="s">
        <v>133</v>
      </c>
      <c r="B46" s="116" t="s">
        <v>140</v>
      </c>
      <c r="C46" s="144">
        <v>0</v>
      </c>
      <c r="D46" s="145">
        <v>0</v>
      </c>
      <c r="E46" s="144">
        <v>0</v>
      </c>
      <c r="F46" s="145">
        <v>3000</v>
      </c>
      <c r="G46" s="120">
        <v>10000</v>
      </c>
      <c r="H46" s="120">
        <v>1781</v>
      </c>
      <c r="I46" s="121">
        <v>5000</v>
      </c>
      <c r="J46" s="120">
        <v>5000</v>
      </c>
      <c r="K46" s="120">
        <v>5000</v>
      </c>
    </row>
    <row r="47" spans="1:11" x14ac:dyDescent="0.25">
      <c r="A47" s="138" t="s">
        <v>134</v>
      </c>
      <c r="B47" s="116" t="s">
        <v>141</v>
      </c>
      <c r="C47" s="144">
        <v>50</v>
      </c>
      <c r="D47" s="145">
        <v>0</v>
      </c>
      <c r="E47" s="144">
        <v>0</v>
      </c>
      <c r="F47" s="145">
        <v>4500</v>
      </c>
      <c r="G47" s="120">
        <v>6750</v>
      </c>
      <c r="H47" s="120">
        <v>3112</v>
      </c>
      <c r="I47" s="120">
        <f>+H47+(500*4)</f>
        <v>5112</v>
      </c>
      <c r="J47" s="120">
        <v>12000</v>
      </c>
      <c r="K47" s="120">
        <v>12000</v>
      </c>
    </row>
    <row r="48" spans="1:11" x14ac:dyDescent="0.25">
      <c r="A48" s="138" t="s">
        <v>135</v>
      </c>
      <c r="B48" s="116" t="s">
        <v>142</v>
      </c>
      <c r="C48" s="98"/>
      <c r="D48" s="98"/>
      <c r="E48" s="98"/>
      <c r="F48" s="165">
        <v>600</v>
      </c>
      <c r="G48" s="120">
        <v>0</v>
      </c>
      <c r="H48" s="121">
        <v>0</v>
      </c>
      <c r="I48" s="120">
        <v>0</v>
      </c>
      <c r="J48" s="120">
        <v>0</v>
      </c>
      <c r="K48" s="120">
        <v>0</v>
      </c>
    </row>
    <row r="49" spans="1:12" x14ac:dyDescent="0.25">
      <c r="A49" s="138" t="s">
        <v>136</v>
      </c>
      <c r="B49" s="116" t="s">
        <v>143</v>
      </c>
      <c r="C49" s="144">
        <v>1250</v>
      </c>
      <c r="D49" s="144">
        <v>2232</v>
      </c>
      <c r="E49" s="166">
        <v>3500</v>
      </c>
      <c r="F49" s="145">
        <v>16200</v>
      </c>
      <c r="G49" s="120">
        <v>16200</v>
      </c>
      <c r="H49" s="120">
        <v>10800</v>
      </c>
      <c r="I49" s="120">
        <f>+H49+(1350*4)</f>
        <v>16200</v>
      </c>
      <c r="J49" s="120">
        <v>25000</v>
      </c>
      <c r="K49" s="120">
        <v>25000</v>
      </c>
    </row>
    <row r="50" spans="1:12" x14ac:dyDescent="0.25">
      <c r="A50" s="138" t="s">
        <v>137</v>
      </c>
      <c r="B50" s="116" t="s">
        <v>72</v>
      </c>
      <c r="C50" s="144">
        <v>2000</v>
      </c>
      <c r="D50" s="167">
        <v>832</v>
      </c>
      <c r="E50" s="144">
        <v>1250</v>
      </c>
      <c r="F50" s="145">
        <v>5000</v>
      </c>
      <c r="G50" s="120">
        <v>15000</v>
      </c>
      <c r="H50" s="120">
        <f>297203-246619</f>
        <v>50584</v>
      </c>
      <c r="I50" s="120">
        <v>51000</v>
      </c>
      <c r="J50" s="120">
        <v>25000</v>
      </c>
      <c r="K50" s="120">
        <v>25000</v>
      </c>
    </row>
    <row r="51" spans="1:12" x14ac:dyDescent="0.25">
      <c r="A51" s="138"/>
      <c r="B51" s="116" t="s">
        <v>1069</v>
      </c>
      <c r="C51" s="144"/>
      <c r="D51" s="167"/>
      <c r="E51" s="144"/>
      <c r="F51" s="145"/>
      <c r="G51" s="120">
        <v>0</v>
      </c>
      <c r="H51" s="120">
        <v>0</v>
      </c>
      <c r="I51" s="120">
        <v>0</v>
      </c>
      <c r="J51" s="120">
        <v>5000</v>
      </c>
      <c r="K51" s="120">
        <v>5000</v>
      </c>
    </row>
    <row r="52" spans="1:12" ht="18.75" customHeight="1" x14ac:dyDescent="0.25">
      <c r="A52" s="138" t="s">
        <v>850</v>
      </c>
      <c r="B52" s="116" t="s">
        <v>851</v>
      </c>
      <c r="C52" s="144">
        <v>2000</v>
      </c>
      <c r="D52" s="167">
        <v>832</v>
      </c>
      <c r="E52" s="144">
        <v>1250</v>
      </c>
      <c r="F52" s="145">
        <v>5000</v>
      </c>
      <c r="G52" s="120">
        <v>18500</v>
      </c>
      <c r="H52" s="120">
        <v>18786</v>
      </c>
      <c r="I52" s="120">
        <f>+H52+3000</f>
        <v>21786</v>
      </c>
      <c r="J52" s="120">
        <v>23000</v>
      </c>
      <c r="K52" s="120">
        <v>23000</v>
      </c>
    </row>
    <row r="53" spans="1:12" ht="18.75" customHeight="1" x14ac:dyDescent="0.25">
      <c r="A53" s="141" t="s">
        <v>889</v>
      </c>
      <c r="B53" s="125" t="s">
        <v>890</v>
      </c>
      <c r="C53" s="144">
        <v>2001</v>
      </c>
      <c r="D53" s="167">
        <v>833</v>
      </c>
      <c r="E53" s="144">
        <v>1250</v>
      </c>
      <c r="F53" s="145">
        <v>5000</v>
      </c>
      <c r="G53" s="129">
        <v>0</v>
      </c>
      <c r="H53" s="129">
        <v>7573</v>
      </c>
      <c r="I53" s="129">
        <v>7573</v>
      </c>
      <c r="J53" s="129">
        <v>8000</v>
      </c>
      <c r="K53" s="129">
        <v>8000</v>
      </c>
    </row>
    <row r="54" spans="1:12" ht="18.75" thickBot="1" x14ac:dyDescent="0.3">
      <c r="A54" s="287" t="s">
        <v>144</v>
      </c>
      <c r="B54" s="288"/>
      <c r="C54" s="277"/>
      <c r="D54" s="440"/>
      <c r="E54" s="277"/>
      <c r="F54" s="278">
        <f>SUM(F43:F50)</f>
        <v>673782</v>
      </c>
      <c r="G54" s="182">
        <f>SUM(G43:G53)</f>
        <v>882450</v>
      </c>
      <c r="H54" s="182">
        <f t="shared" ref="H54:J54" si="6">SUM(H43:H53)</f>
        <v>583636</v>
      </c>
      <c r="I54" s="182">
        <f t="shared" si="6"/>
        <v>862871</v>
      </c>
      <c r="J54" s="182">
        <f t="shared" si="6"/>
        <v>1588000</v>
      </c>
      <c r="K54" s="112">
        <f>SUM(K43:K53)</f>
        <v>1549000</v>
      </c>
      <c r="L54" s="168"/>
    </row>
    <row r="55" spans="1:12" x14ac:dyDescent="0.25">
      <c r="A55" s="138" t="s">
        <v>145</v>
      </c>
      <c r="B55" s="116" t="s">
        <v>149</v>
      </c>
      <c r="C55" s="144"/>
      <c r="D55" s="167"/>
      <c r="E55" s="144"/>
      <c r="F55" s="145">
        <v>1000</v>
      </c>
      <c r="G55" s="120">
        <v>120</v>
      </c>
      <c r="H55" s="120">
        <v>44</v>
      </c>
      <c r="I55" s="120">
        <v>120</v>
      </c>
      <c r="J55" s="120">
        <v>120</v>
      </c>
      <c r="K55" s="113">
        <v>120</v>
      </c>
    </row>
    <row r="56" spans="1:12" x14ac:dyDescent="0.25">
      <c r="A56" s="138" t="s">
        <v>146</v>
      </c>
      <c r="B56" s="116" t="s">
        <v>150</v>
      </c>
      <c r="C56" s="144"/>
      <c r="D56" s="167"/>
      <c r="E56" s="144"/>
      <c r="F56" s="145">
        <v>275</v>
      </c>
      <c r="G56" s="120">
        <v>125</v>
      </c>
      <c r="H56" s="120">
        <v>55</v>
      </c>
      <c r="I56" s="120">
        <v>125</v>
      </c>
      <c r="J56" s="120">
        <v>125</v>
      </c>
      <c r="K56" s="120">
        <v>125</v>
      </c>
    </row>
    <row r="57" spans="1:12" x14ac:dyDescent="0.25">
      <c r="A57" s="138" t="s">
        <v>147</v>
      </c>
      <c r="B57" s="116" t="s">
        <v>151</v>
      </c>
      <c r="C57" s="144"/>
      <c r="D57" s="167"/>
      <c r="E57" s="144"/>
      <c r="F57" s="145">
        <v>15</v>
      </c>
      <c r="G57" s="120">
        <v>15</v>
      </c>
      <c r="H57" s="120">
        <v>1</v>
      </c>
      <c r="I57" s="120">
        <v>15</v>
      </c>
      <c r="J57" s="120">
        <v>20</v>
      </c>
      <c r="K57" s="120">
        <v>20</v>
      </c>
    </row>
    <row r="58" spans="1:12" x14ac:dyDescent="0.25">
      <c r="A58" s="141" t="s">
        <v>148</v>
      </c>
      <c r="B58" s="125" t="s">
        <v>152</v>
      </c>
      <c r="C58" s="144"/>
      <c r="D58" s="167"/>
      <c r="E58" s="144"/>
      <c r="F58" s="145">
        <v>200</v>
      </c>
      <c r="G58" s="120">
        <v>50</v>
      </c>
      <c r="H58" s="120">
        <v>0</v>
      </c>
      <c r="I58" s="120">
        <v>0</v>
      </c>
      <c r="J58" s="120">
        <v>50</v>
      </c>
      <c r="K58" s="129">
        <v>50</v>
      </c>
    </row>
    <row r="59" spans="1:12" s="146" customFormat="1" ht="18.75" thickBot="1" x14ac:dyDescent="0.3">
      <c r="A59" s="132" t="s">
        <v>153</v>
      </c>
      <c r="B59" s="148"/>
      <c r="C59" s="149"/>
      <c r="D59" s="169"/>
      <c r="E59" s="149"/>
      <c r="F59" s="150">
        <f t="shared" ref="F59:K59" si="7">SUM(F55:F58)</f>
        <v>1490</v>
      </c>
      <c r="G59" s="136">
        <f t="shared" si="7"/>
        <v>310</v>
      </c>
      <c r="H59" s="136">
        <f t="shared" si="7"/>
        <v>100</v>
      </c>
      <c r="I59" s="136">
        <f t="shared" si="7"/>
        <v>260</v>
      </c>
      <c r="J59" s="136">
        <f t="shared" si="7"/>
        <v>315</v>
      </c>
      <c r="K59" s="136">
        <f t="shared" si="7"/>
        <v>315</v>
      </c>
      <c r="L59" s="96"/>
    </row>
    <row r="60" spans="1:12" ht="18.75" thickBot="1" x14ac:dyDescent="0.3">
      <c r="A60" s="441" t="s">
        <v>891</v>
      </c>
      <c r="B60" s="439" t="s">
        <v>892</v>
      </c>
      <c r="C60" s="442"/>
      <c r="D60" s="443"/>
      <c r="E60" s="442"/>
      <c r="F60" s="444"/>
      <c r="G60" s="112">
        <v>0</v>
      </c>
      <c r="H60" s="112">
        <v>150910</v>
      </c>
      <c r="I60" s="112">
        <v>150910</v>
      </c>
      <c r="J60" s="114">
        <v>0</v>
      </c>
      <c r="K60" s="112">
        <v>0</v>
      </c>
      <c r="L60" s="146"/>
    </row>
    <row r="61" spans="1:12" ht="18.75" thickBot="1" x14ac:dyDescent="0.3">
      <c r="A61" s="524" t="s">
        <v>6</v>
      </c>
      <c r="B61" s="542"/>
      <c r="C61" s="445">
        <f>SUM(C4:C58)</f>
        <v>2178668</v>
      </c>
      <c r="D61" s="446">
        <f>SUM(D4:D58)</f>
        <v>1595052</v>
      </c>
      <c r="E61" s="445">
        <f>SUM(E4:E58)</f>
        <v>2192672</v>
      </c>
      <c r="F61" s="446">
        <f>SUM(F11+F18+F21+F28+F32+F34+F40+F54+F59)</f>
        <v>3240655</v>
      </c>
      <c r="G61" s="447">
        <f>SUM(G11+G18+G21+G28+G32+G34+G40+G54+G59+G60)</f>
        <v>3665387</v>
      </c>
      <c r="H61" s="447">
        <f>SUM(H11+H18+H21+H28+H32+H34+H40+H54+H59+H60)</f>
        <v>2719729.05</v>
      </c>
      <c r="I61" s="447">
        <f>SUM(I11+I18+I21+I28+I32+I34+I40+I54+I59+I60)</f>
        <v>3801446.05</v>
      </c>
      <c r="J61" s="447">
        <f>SUM(J11+J18+J21+J28+J32+J34+J40+J54+J59+J60)</f>
        <v>4409491.08</v>
      </c>
      <c r="K61" s="448">
        <f>SUM(K60+K54+K40+K34+K32+K28+K21+K18+K11+ K59)</f>
        <v>4370491.08</v>
      </c>
    </row>
    <row r="62" spans="1:12" x14ac:dyDescent="0.25">
      <c r="A62" s="98"/>
      <c r="B62" s="98"/>
      <c r="C62" s="98"/>
      <c r="D62" s="98"/>
      <c r="E62" s="98"/>
      <c r="F62" s="98"/>
      <c r="G62" s="163"/>
      <c r="H62" s="163"/>
      <c r="I62" s="163"/>
      <c r="J62" s="163"/>
      <c r="L62" s="171"/>
    </row>
    <row r="63" spans="1:12" s="146" customFormat="1" x14ac:dyDescent="0.25">
      <c r="A63" s="519" t="s">
        <v>16</v>
      </c>
      <c r="B63" s="536"/>
      <c r="C63" s="536"/>
      <c r="D63" s="536"/>
      <c r="E63" s="536"/>
      <c r="F63" s="518"/>
      <c r="G63" s="172"/>
      <c r="H63" s="173"/>
      <c r="I63" s="172" t="str">
        <f>+I2</f>
        <v xml:space="preserve"> Estimated</v>
      </c>
      <c r="J63" s="172" t="s">
        <v>1093</v>
      </c>
      <c r="K63" s="102" t="s">
        <v>1077</v>
      </c>
      <c r="L63" s="96"/>
    </row>
    <row r="64" spans="1:12" s="146" customFormat="1" x14ac:dyDescent="0.25">
      <c r="A64" s="103" t="s">
        <v>160</v>
      </c>
      <c r="B64" s="104"/>
      <c r="C64" s="104" t="s">
        <v>27</v>
      </c>
      <c r="D64" s="104" t="s">
        <v>30</v>
      </c>
      <c r="E64" s="104" t="s">
        <v>29</v>
      </c>
      <c r="F64" s="174" t="s">
        <v>405</v>
      </c>
      <c r="G64" s="175" t="str">
        <f>+G3</f>
        <v>Budget 2016-17</v>
      </c>
      <c r="H64" s="175" t="str">
        <f>+H3</f>
        <v>Actual 5/31/17</v>
      </c>
      <c r="I64" s="175">
        <f>+I3</f>
        <v>43008</v>
      </c>
      <c r="J64" s="175" t="str">
        <f>+J3</f>
        <v>Budget 2017-18</v>
      </c>
      <c r="K64" s="107" t="s">
        <v>1076</v>
      </c>
    </row>
    <row r="65" spans="1:12" x14ac:dyDescent="0.25">
      <c r="A65" s="449" t="s">
        <v>154</v>
      </c>
      <c r="B65" s="439" t="s">
        <v>5</v>
      </c>
      <c r="C65" s="178">
        <v>47800</v>
      </c>
      <c r="D65" s="156">
        <v>31949</v>
      </c>
      <c r="E65" s="178">
        <v>47923</v>
      </c>
      <c r="F65" s="156">
        <v>142686</v>
      </c>
      <c r="G65" s="112">
        <v>141853</v>
      </c>
      <c r="H65" s="112">
        <v>97903</v>
      </c>
      <c r="I65" s="112">
        <f>+H65+(4850*8)</f>
        <v>136703</v>
      </c>
      <c r="J65" s="112">
        <f>SUM('Personnel Sched - Gen Admin'!K19+'Budget Req - Gen Admin'!E11)</f>
        <v>176534.24000000002</v>
      </c>
      <c r="K65" s="112">
        <v>176534</v>
      </c>
      <c r="L65" s="146"/>
    </row>
    <row r="66" spans="1:12" x14ac:dyDescent="0.25">
      <c r="A66" s="158">
        <v>510.03</v>
      </c>
      <c r="B66" s="159" t="s">
        <v>155</v>
      </c>
      <c r="C66" s="178">
        <v>3700</v>
      </c>
      <c r="D66" s="156">
        <v>3165</v>
      </c>
      <c r="E66" s="178">
        <v>4747</v>
      </c>
      <c r="F66" s="156">
        <v>24000</v>
      </c>
      <c r="G66" s="450">
        <v>23500</v>
      </c>
      <c r="H66" s="121">
        <v>42174</v>
      </c>
      <c r="I66" s="450">
        <v>42000</v>
      </c>
      <c r="J66" s="450">
        <f>SUM('Budget Req - Gen Admin'!E17)</f>
        <v>42000</v>
      </c>
      <c r="K66" s="450">
        <v>60000</v>
      </c>
    </row>
    <row r="67" spans="1:12" x14ac:dyDescent="0.25">
      <c r="A67" s="158">
        <v>510.04</v>
      </c>
      <c r="B67" s="159" t="s">
        <v>156</v>
      </c>
      <c r="C67" s="283">
        <v>2550</v>
      </c>
      <c r="D67" s="156">
        <v>3336</v>
      </c>
      <c r="E67" s="178">
        <v>5004</v>
      </c>
      <c r="F67" s="156">
        <v>3600</v>
      </c>
      <c r="G67" s="121">
        <v>3000</v>
      </c>
      <c r="H67" s="121">
        <v>2250</v>
      </c>
      <c r="I67" s="121">
        <v>3000</v>
      </c>
      <c r="J67" s="121">
        <f>SUM('Budget Req - Gen Admin'!E21)</f>
        <v>15600</v>
      </c>
      <c r="K67" s="121">
        <v>15600</v>
      </c>
    </row>
    <row r="68" spans="1:12" x14ac:dyDescent="0.25">
      <c r="A68" s="158">
        <v>510.05</v>
      </c>
      <c r="B68" s="159" t="s">
        <v>157</v>
      </c>
      <c r="C68" s="178">
        <v>4800</v>
      </c>
      <c r="D68" s="156">
        <v>3695</v>
      </c>
      <c r="E68" s="178">
        <v>7390</v>
      </c>
      <c r="F68" s="156">
        <v>19497</v>
      </c>
      <c r="G68" s="121">
        <v>21632</v>
      </c>
      <c r="H68" s="121">
        <v>8800</v>
      </c>
      <c r="I68" s="121">
        <f>+H68+(1250*5)</f>
        <v>15050</v>
      </c>
      <c r="J68" s="121">
        <f>SUM('Budget Req - Gen Admin'!E28)</f>
        <v>17821.453335999999</v>
      </c>
      <c r="K68" s="121">
        <v>25843</v>
      </c>
    </row>
    <row r="69" spans="1:12" x14ac:dyDescent="0.25">
      <c r="A69" s="158">
        <v>510.06</v>
      </c>
      <c r="B69" s="159" t="s">
        <v>19</v>
      </c>
      <c r="C69" s="283">
        <v>2300</v>
      </c>
      <c r="D69" s="178">
        <v>2300</v>
      </c>
      <c r="E69" s="178">
        <v>2300</v>
      </c>
      <c r="F69" s="156">
        <v>10915.48</v>
      </c>
      <c r="G69" s="121">
        <v>14411</v>
      </c>
      <c r="H69" s="121">
        <v>8342</v>
      </c>
      <c r="I69" s="121">
        <f>+H69+4000</f>
        <v>12342</v>
      </c>
      <c r="J69" s="121">
        <f>SUM(J65*0.08)</f>
        <v>14122.739200000002</v>
      </c>
      <c r="K69" s="121">
        <f>SUM(K65*0.08)</f>
        <v>14122.720000000001</v>
      </c>
    </row>
    <row r="70" spans="1:12" x14ac:dyDescent="0.25">
      <c r="A70" s="158">
        <v>510.07</v>
      </c>
      <c r="B70" s="159" t="s">
        <v>158</v>
      </c>
      <c r="C70" s="283">
        <v>42100</v>
      </c>
      <c r="D70" s="178">
        <v>36480</v>
      </c>
      <c r="E70" s="283">
        <v>42100</v>
      </c>
      <c r="F70" s="156">
        <v>6064.16</v>
      </c>
      <c r="G70" s="121">
        <v>9588</v>
      </c>
      <c r="H70" s="121">
        <v>3780</v>
      </c>
      <c r="I70" s="121">
        <f>+I65*0.0502</f>
        <v>6862.4906000000001</v>
      </c>
      <c r="J70" s="121">
        <f>SUM(J65*0.0425)</f>
        <v>7502.7052000000012</v>
      </c>
      <c r="K70" s="121">
        <f>SUM(K65*0.0509)</f>
        <v>8985.5805999999993</v>
      </c>
    </row>
    <row r="71" spans="1:12" s="146" customFormat="1" x14ac:dyDescent="0.25">
      <c r="A71" s="158">
        <v>510.08</v>
      </c>
      <c r="B71" s="159" t="s">
        <v>326</v>
      </c>
      <c r="C71" s="283"/>
      <c r="D71" s="178"/>
      <c r="E71" s="283"/>
      <c r="F71" s="156">
        <v>425</v>
      </c>
      <c r="G71" s="121">
        <v>520</v>
      </c>
      <c r="H71" s="121">
        <v>418</v>
      </c>
      <c r="I71" s="121">
        <v>520</v>
      </c>
      <c r="J71" s="121">
        <f>SUM('Budget Req - Gen Admin'!E36)</f>
        <v>516.75</v>
      </c>
      <c r="K71" s="121">
        <v>537</v>
      </c>
      <c r="L71" s="96"/>
    </row>
    <row r="72" spans="1:12" x14ac:dyDescent="0.25">
      <c r="A72" s="158">
        <v>510.09</v>
      </c>
      <c r="B72" s="159" t="s">
        <v>690</v>
      </c>
      <c r="C72" s="283"/>
      <c r="D72" s="178"/>
      <c r="E72" s="283"/>
      <c r="F72" s="156">
        <v>0</v>
      </c>
      <c r="G72" s="121">
        <v>1670</v>
      </c>
      <c r="H72" s="121">
        <v>0</v>
      </c>
      <c r="I72" s="121">
        <v>1670</v>
      </c>
      <c r="J72" s="121">
        <f>SUM('Budget Req - Gen Admin'!E38)+(J65*0.01)</f>
        <v>3435.3424000000005</v>
      </c>
      <c r="K72" s="121">
        <v>0</v>
      </c>
      <c r="L72" s="146"/>
    </row>
    <row r="73" spans="1:12" x14ac:dyDescent="0.25">
      <c r="A73" s="159">
        <v>510.11</v>
      </c>
      <c r="B73" s="159" t="s">
        <v>177</v>
      </c>
      <c r="C73" s="283"/>
      <c r="D73" s="178"/>
      <c r="E73" s="283"/>
      <c r="F73" s="156">
        <v>5000</v>
      </c>
      <c r="G73" s="121">
        <v>2000</v>
      </c>
      <c r="H73" s="121">
        <v>300</v>
      </c>
      <c r="I73" s="121">
        <v>1000</v>
      </c>
      <c r="J73" s="121">
        <f>SUM('Budget Req - Gen Admin'!E40)</f>
        <v>2000</v>
      </c>
      <c r="K73" s="121">
        <v>2000</v>
      </c>
    </row>
    <row r="74" spans="1:12" x14ac:dyDescent="0.25">
      <c r="A74" s="285">
        <v>510.12</v>
      </c>
      <c r="B74" s="285" t="s">
        <v>536</v>
      </c>
      <c r="C74" s="283"/>
      <c r="D74" s="178"/>
      <c r="E74" s="283"/>
      <c r="F74" s="156">
        <v>0</v>
      </c>
      <c r="G74" s="147">
        <v>3900</v>
      </c>
      <c r="H74" s="147">
        <v>0</v>
      </c>
      <c r="I74" s="147">
        <f>150*19</f>
        <v>2850</v>
      </c>
      <c r="J74" s="147">
        <f>SUM('Budget Req - Gen Admin'!E42)</f>
        <v>750</v>
      </c>
      <c r="K74" s="147">
        <v>600</v>
      </c>
    </row>
    <row r="75" spans="1:12" ht="18.75" thickBot="1" x14ac:dyDescent="0.3">
      <c r="A75" s="287" t="s">
        <v>159</v>
      </c>
      <c r="B75" s="288"/>
      <c r="C75" s="451"/>
      <c r="D75" s="277"/>
      <c r="E75" s="451"/>
      <c r="F75" s="278">
        <f t="shared" ref="F75:K75" si="8">SUM(F65:F74)</f>
        <v>212187.64</v>
      </c>
      <c r="G75" s="182">
        <f t="shared" si="8"/>
        <v>222074</v>
      </c>
      <c r="H75" s="182">
        <f t="shared" si="8"/>
        <v>163967</v>
      </c>
      <c r="I75" s="182">
        <f t="shared" si="8"/>
        <v>221997.49059999999</v>
      </c>
      <c r="J75" s="182">
        <f t="shared" si="8"/>
        <v>280283.23013600009</v>
      </c>
      <c r="K75" s="182">
        <f t="shared" si="8"/>
        <v>304222.30059999996</v>
      </c>
    </row>
    <row r="76" spans="1:12" x14ac:dyDescent="0.25">
      <c r="A76" s="158">
        <v>520.01</v>
      </c>
      <c r="B76" s="159" t="s">
        <v>161</v>
      </c>
      <c r="C76" s="178">
        <v>10000</v>
      </c>
      <c r="D76" s="156">
        <v>5400</v>
      </c>
      <c r="E76" s="178">
        <v>8100</v>
      </c>
      <c r="F76" s="156">
        <v>4600</v>
      </c>
      <c r="G76" s="121">
        <v>2000</v>
      </c>
      <c r="H76" s="121">
        <v>2510</v>
      </c>
      <c r="I76" s="121">
        <v>2600</v>
      </c>
      <c r="J76" s="121">
        <v>5000</v>
      </c>
      <c r="K76" s="121">
        <v>5000</v>
      </c>
    </row>
    <row r="77" spans="1:12" x14ac:dyDescent="0.25">
      <c r="A77" s="158">
        <v>520.02</v>
      </c>
      <c r="B77" s="159" t="s">
        <v>196</v>
      </c>
      <c r="C77" s="178"/>
      <c r="D77" s="156"/>
      <c r="E77" s="178"/>
      <c r="F77" s="156">
        <v>1000</v>
      </c>
      <c r="G77" s="121">
        <v>1400</v>
      </c>
      <c r="H77" s="121">
        <v>649</v>
      </c>
      <c r="I77" s="121">
        <v>1400</v>
      </c>
      <c r="J77" s="121">
        <v>3000</v>
      </c>
      <c r="K77" s="121">
        <v>3000</v>
      </c>
    </row>
    <row r="78" spans="1:12" x14ac:dyDescent="0.25">
      <c r="A78" s="158">
        <v>520.03</v>
      </c>
      <c r="B78" s="159" t="s">
        <v>162</v>
      </c>
      <c r="C78" s="178">
        <v>7000</v>
      </c>
      <c r="D78" s="156">
        <v>4122</v>
      </c>
      <c r="E78" s="178">
        <v>6183</v>
      </c>
      <c r="F78" s="156">
        <v>1400</v>
      </c>
      <c r="G78" s="121">
        <v>600</v>
      </c>
      <c r="H78" s="121">
        <v>374</v>
      </c>
      <c r="I78" s="121">
        <v>600</v>
      </c>
      <c r="J78" s="121">
        <v>600</v>
      </c>
      <c r="K78" s="121">
        <v>1500</v>
      </c>
    </row>
    <row r="79" spans="1:12" hidden="1" x14ac:dyDescent="0.25">
      <c r="A79" s="158">
        <v>520.05999999999995</v>
      </c>
      <c r="B79" s="159" t="s">
        <v>163</v>
      </c>
      <c r="C79" s="178">
        <v>16000</v>
      </c>
      <c r="D79" s="156">
        <v>11635</v>
      </c>
      <c r="E79" s="178">
        <v>17450</v>
      </c>
      <c r="F79" s="156">
        <v>0</v>
      </c>
      <c r="G79" s="121">
        <v>0</v>
      </c>
      <c r="H79" s="121">
        <v>0</v>
      </c>
      <c r="I79" s="121"/>
      <c r="J79" s="121"/>
      <c r="K79" s="121"/>
    </row>
    <row r="80" spans="1:12" x14ac:dyDescent="0.25">
      <c r="A80" s="158">
        <v>521.07000000000005</v>
      </c>
      <c r="B80" s="159" t="s">
        <v>693</v>
      </c>
      <c r="C80" s="178">
        <v>16000</v>
      </c>
      <c r="D80" s="156">
        <v>11635</v>
      </c>
      <c r="E80" s="178">
        <v>17450</v>
      </c>
      <c r="F80" s="156">
        <v>0</v>
      </c>
      <c r="G80" s="121">
        <v>150</v>
      </c>
      <c r="H80" s="121">
        <v>0</v>
      </c>
      <c r="I80" s="121">
        <v>150</v>
      </c>
      <c r="J80" s="121">
        <v>300</v>
      </c>
      <c r="K80" s="121">
        <v>300</v>
      </c>
    </row>
    <row r="81" spans="1:12" x14ac:dyDescent="0.25">
      <c r="A81" s="158">
        <v>520.08000000000004</v>
      </c>
      <c r="B81" s="159" t="s">
        <v>164</v>
      </c>
      <c r="C81" s="178">
        <v>9500</v>
      </c>
      <c r="D81" s="156">
        <v>4181</v>
      </c>
      <c r="E81" s="283">
        <v>6271</v>
      </c>
      <c r="F81" s="156">
        <v>3200</v>
      </c>
      <c r="G81" s="121">
        <v>4300</v>
      </c>
      <c r="H81" s="121">
        <v>2838</v>
      </c>
      <c r="I81" s="121">
        <v>5000</v>
      </c>
      <c r="J81" s="121">
        <v>5000</v>
      </c>
      <c r="K81" s="121">
        <v>5000</v>
      </c>
    </row>
    <row r="82" spans="1:12" x14ac:dyDescent="0.25">
      <c r="A82" s="158">
        <v>520.09</v>
      </c>
      <c r="B82" s="159" t="s">
        <v>212</v>
      </c>
      <c r="C82" s="178"/>
      <c r="D82" s="156"/>
      <c r="E82" s="283"/>
      <c r="F82" s="156"/>
      <c r="G82" s="121">
        <v>50</v>
      </c>
      <c r="H82" s="121">
        <v>0</v>
      </c>
      <c r="I82" s="121">
        <v>0</v>
      </c>
      <c r="J82" s="121">
        <v>0</v>
      </c>
      <c r="K82" s="121">
        <v>0</v>
      </c>
    </row>
    <row r="83" spans="1:12" x14ac:dyDescent="0.25">
      <c r="A83" s="158">
        <v>520.1</v>
      </c>
      <c r="B83" s="159" t="s">
        <v>165</v>
      </c>
      <c r="C83" s="178">
        <v>7650</v>
      </c>
      <c r="D83" s="156">
        <v>6074</v>
      </c>
      <c r="E83" s="283">
        <v>7650</v>
      </c>
      <c r="F83" s="156">
        <v>3000</v>
      </c>
      <c r="G83" s="121">
        <v>500</v>
      </c>
      <c r="H83" s="121">
        <v>323</v>
      </c>
      <c r="I83" s="121">
        <v>500</v>
      </c>
      <c r="J83" s="121">
        <v>700</v>
      </c>
      <c r="K83" s="121">
        <v>700</v>
      </c>
    </row>
    <row r="84" spans="1:12" x14ac:dyDescent="0.25">
      <c r="A84" s="158">
        <v>520.11</v>
      </c>
      <c r="B84" s="159" t="s">
        <v>22</v>
      </c>
      <c r="C84" s="178"/>
      <c r="D84" s="156"/>
      <c r="E84" s="283"/>
      <c r="F84" s="156"/>
      <c r="G84" s="121">
        <v>200</v>
      </c>
      <c r="H84" s="121">
        <v>119</v>
      </c>
      <c r="I84" s="121">
        <v>200</v>
      </c>
      <c r="J84" s="121">
        <v>500</v>
      </c>
      <c r="K84" s="121">
        <v>500</v>
      </c>
    </row>
    <row r="85" spans="1:12" s="179" customFormat="1" ht="18.75" thickBot="1" x14ac:dyDescent="0.3">
      <c r="A85" s="287" t="s">
        <v>166</v>
      </c>
      <c r="B85" s="288"/>
      <c r="C85" s="340"/>
      <c r="D85" s="341"/>
      <c r="E85" s="452"/>
      <c r="F85" s="341">
        <f>SUM(F76:F83)</f>
        <v>13200</v>
      </c>
      <c r="G85" s="182">
        <f>SUM(G76:G84)</f>
        <v>9200</v>
      </c>
      <c r="H85" s="182">
        <f>SUM(H76:H84)</f>
        <v>6813</v>
      </c>
      <c r="I85" s="182">
        <f>SUM(I76:I84)</f>
        <v>10450</v>
      </c>
      <c r="J85" s="182">
        <f>SUM(J76:J84)</f>
        <v>15100</v>
      </c>
      <c r="K85" s="453">
        <f>SUM(K76:K84)</f>
        <v>16000</v>
      </c>
      <c r="L85" s="96"/>
    </row>
    <row r="86" spans="1:12" s="180" customFormat="1" x14ac:dyDescent="0.25">
      <c r="A86" s="158">
        <v>530.01</v>
      </c>
      <c r="B86" s="159" t="s">
        <v>168</v>
      </c>
      <c r="C86" s="178">
        <v>3500</v>
      </c>
      <c r="D86" s="156">
        <v>1321</v>
      </c>
      <c r="E86" s="178">
        <v>2000</v>
      </c>
      <c r="F86" s="156">
        <v>3800</v>
      </c>
      <c r="G86" s="121">
        <v>5300</v>
      </c>
      <c r="H86" s="121">
        <v>6413</v>
      </c>
      <c r="I86" s="121">
        <f>8508+3300</f>
        <v>11808</v>
      </c>
      <c r="J86" s="121">
        <f>SUM('Budget Req - Gen Admin'!E57)</f>
        <v>15700</v>
      </c>
      <c r="K86" s="121">
        <v>15700</v>
      </c>
    </row>
    <row r="87" spans="1:12" s="180" customFormat="1" x14ac:dyDescent="0.25">
      <c r="A87" s="158">
        <v>530.02</v>
      </c>
      <c r="B87" s="159" t="s">
        <v>71</v>
      </c>
      <c r="C87" s="178">
        <v>16500</v>
      </c>
      <c r="D87" s="156">
        <v>11896</v>
      </c>
      <c r="E87" s="178">
        <v>17844</v>
      </c>
      <c r="F87" s="156">
        <v>3192</v>
      </c>
      <c r="G87" s="121">
        <v>2292</v>
      </c>
      <c r="H87" s="454">
        <v>1471</v>
      </c>
      <c r="I87" s="121">
        <v>2300</v>
      </c>
      <c r="J87" s="121">
        <f>SUM('Budget Req - Gen Admin'!E61)</f>
        <v>3792</v>
      </c>
      <c r="K87" s="121">
        <v>3792</v>
      </c>
    </row>
    <row r="88" spans="1:12" x14ac:dyDescent="0.25">
      <c r="A88" s="158">
        <v>530.03</v>
      </c>
      <c r="B88" s="159" t="s">
        <v>605</v>
      </c>
      <c r="C88" s="178">
        <v>5000</v>
      </c>
      <c r="D88" s="156">
        <v>1872</v>
      </c>
      <c r="E88" s="178">
        <v>2808</v>
      </c>
      <c r="F88" s="156">
        <v>33000</v>
      </c>
      <c r="G88" s="121">
        <v>24750</v>
      </c>
      <c r="H88" s="454">
        <v>18956</v>
      </c>
      <c r="I88" s="121">
        <f>+H88+6000</f>
        <v>24956</v>
      </c>
      <c r="J88" s="121">
        <f>SUM('Budget Req - Gen Admin'!E65)</f>
        <v>22120</v>
      </c>
      <c r="K88" s="121">
        <v>22120</v>
      </c>
      <c r="L88" s="180"/>
    </row>
    <row r="89" spans="1:12" hidden="1" x14ac:dyDescent="0.25">
      <c r="A89" s="158">
        <v>530.04</v>
      </c>
      <c r="B89" s="159" t="s">
        <v>169</v>
      </c>
      <c r="C89" s="178">
        <v>1000</v>
      </c>
      <c r="D89" s="156">
        <v>557</v>
      </c>
      <c r="E89" s="178">
        <v>835</v>
      </c>
      <c r="F89" s="156">
        <v>0</v>
      </c>
      <c r="G89" s="121">
        <v>0</v>
      </c>
      <c r="H89" s="121"/>
      <c r="I89" s="121"/>
      <c r="J89" s="121">
        <v>0</v>
      </c>
      <c r="K89" s="121">
        <v>0</v>
      </c>
      <c r="L89" s="180"/>
    </row>
    <row r="90" spans="1:12" x14ac:dyDescent="0.25">
      <c r="A90" s="158">
        <v>530.04999999999995</v>
      </c>
      <c r="B90" s="159" t="s">
        <v>20</v>
      </c>
      <c r="C90" s="178">
        <v>1500</v>
      </c>
      <c r="D90" s="156">
        <v>0</v>
      </c>
      <c r="E90" s="178">
        <v>0</v>
      </c>
      <c r="F90" s="156">
        <v>1000</v>
      </c>
      <c r="G90" s="121">
        <v>600</v>
      </c>
      <c r="H90" s="121">
        <v>975</v>
      </c>
      <c r="I90" s="121">
        <v>1000</v>
      </c>
      <c r="J90" s="121">
        <v>1100</v>
      </c>
      <c r="K90" s="121">
        <v>1100</v>
      </c>
      <c r="L90" s="180"/>
    </row>
    <row r="91" spans="1:12" x14ac:dyDescent="0.25">
      <c r="A91" s="158">
        <v>530.05999999999995</v>
      </c>
      <c r="B91" s="159" t="s">
        <v>170</v>
      </c>
      <c r="C91" s="178">
        <v>2400</v>
      </c>
      <c r="D91" s="156">
        <v>2610</v>
      </c>
      <c r="E91" s="178">
        <v>3915</v>
      </c>
      <c r="F91" s="156">
        <v>240</v>
      </c>
      <c r="G91" s="121">
        <v>500</v>
      </c>
      <c r="H91" s="121">
        <v>431</v>
      </c>
      <c r="I91" s="121">
        <v>500</v>
      </c>
      <c r="J91" s="121">
        <v>1000</v>
      </c>
      <c r="K91" s="121">
        <v>1000</v>
      </c>
    </row>
    <row r="92" spans="1:12" x14ac:dyDescent="0.25">
      <c r="A92" s="158">
        <v>530.11</v>
      </c>
      <c r="B92" s="159" t="s">
        <v>2</v>
      </c>
      <c r="C92" s="178">
        <v>0</v>
      </c>
      <c r="D92" s="156">
        <v>0</v>
      </c>
      <c r="E92" s="178">
        <v>0</v>
      </c>
      <c r="F92" s="156">
        <v>13000</v>
      </c>
      <c r="G92" s="121">
        <v>9500</v>
      </c>
      <c r="H92" s="121">
        <v>5189</v>
      </c>
      <c r="I92" s="121">
        <f>5885+3000+15</f>
        <v>8900</v>
      </c>
      <c r="J92" s="121">
        <f>SUM('Budget Req - Gen Admin'!E67)</f>
        <v>11000</v>
      </c>
      <c r="K92" s="121">
        <v>11000</v>
      </c>
    </row>
    <row r="93" spans="1:12" hidden="1" x14ac:dyDescent="0.25">
      <c r="A93" s="158">
        <v>530.12</v>
      </c>
      <c r="B93" s="159" t="s">
        <v>171</v>
      </c>
      <c r="C93" s="178">
        <v>2000</v>
      </c>
      <c r="D93" s="156">
        <v>668</v>
      </c>
      <c r="E93" s="178">
        <v>1000</v>
      </c>
      <c r="F93" s="156">
        <v>0</v>
      </c>
      <c r="G93" s="121">
        <v>0</v>
      </c>
      <c r="H93" s="121"/>
      <c r="I93" s="121"/>
      <c r="J93" s="121">
        <v>0</v>
      </c>
      <c r="K93" s="121"/>
    </row>
    <row r="94" spans="1:12" x14ac:dyDescent="0.25">
      <c r="A94" s="284">
        <v>530.13</v>
      </c>
      <c r="B94" s="285" t="s">
        <v>172</v>
      </c>
      <c r="C94" s="178">
        <v>7950</v>
      </c>
      <c r="D94" s="455">
        <v>9500</v>
      </c>
      <c r="E94" s="178">
        <v>14250</v>
      </c>
      <c r="F94" s="156">
        <v>14500</v>
      </c>
      <c r="G94" s="147">
        <v>16000</v>
      </c>
      <c r="H94" s="147">
        <v>15884</v>
      </c>
      <c r="I94" s="147">
        <f>+H94+(4*1175)</f>
        <v>20584</v>
      </c>
      <c r="J94" s="147">
        <f>SUM('Budget Req - Gen Admin'!E83)</f>
        <v>22000</v>
      </c>
      <c r="K94" s="147">
        <v>30000</v>
      </c>
    </row>
    <row r="95" spans="1:12" ht="18.75" thickBot="1" x14ac:dyDescent="0.3">
      <c r="A95" s="287" t="s">
        <v>167</v>
      </c>
      <c r="B95" s="288"/>
      <c r="C95" s="277"/>
      <c r="D95" s="440"/>
      <c r="E95" s="277"/>
      <c r="F95" s="278">
        <f t="shared" ref="F95:K95" si="9">SUM(F86:F94)</f>
        <v>68732</v>
      </c>
      <c r="G95" s="182">
        <f t="shared" si="9"/>
        <v>58942</v>
      </c>
      <c r="H95" s="182">
        <f t="shared" si="9"/>
        <v>49319</v>
      </c>
      <c r="I95" s="182">
        <f t="shared" si="9"/>
        <v>70048</v>
      </c>
      <c r="J95" s="182">
        <f t="shared" si="9"/>
        <v>76712</v>
      </c>
      <c r="K95" s="182">
        <f t="shared" si="9"/>
        <v>84712</v>
      </c>
    </row>
    <row r="96" spans="1:12" x14ac:dyDescent="0.25">
      <c r="A96" s="158">
        <v>540.01</v>
      </c>
      <c r="B96" s="159" t="s">
        <v>173</v>
      </c>
      <c r="C96" s="178">
        <v>24110</v>
      </c>
      <c r="D96" s="156">
        <v>2774</v>
      </c>
      <c r="E96" s="178">
        <v>4162</v>
      </c>
      <c r="F96" s="156">
        <v>4000</v>
      </c>
      <c r="G96" s="121">
        <v>2000</v>
      </c>
      <c r="H96" s="121">
        <v>8841</v>
      </c>
      <c r="I96" s="121">
        <v>9000</v>
      </c>
      <c r="J96" s="121">
        <f>SUM('Budget Req - Gen Admin'!E88)</f>
        <v>103000</v>
      </c>
      <c r="K96" s="121">
        <v>103000</v>
      </c>
    </row>
    <row r="97" spans="1:12" x14ac:dyDescent="0.25">
      <c r="A97" s="284">
        <v>540.07000000000005</v>
      </c>
      <c r="B97" s="285" t="s">
        <v>216</v>
      </c>
      <c r="C97" s="178"/>
      <c r="D97" s="156"/>
      <c r="E97" s="178"/>
      <c r="F97" s="156">
        <v>0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</row>
    <row r="98" spans="1:12" s="146" customFormat="1" ht="18.75" thickBot="1" x14ac:dyDescent="0.3">
      <c r="A98" s="287" t="s">
        <v>174</v>
      </c>
      <c r="B98" s="288"/>
      <c r="C98" s="277"/>
      <c r="D98" s="278"/>
      <c r="E98" s="277"/>
      <c r="F98" s="278">
        <f>SUM(F96)</f>
        <v>4000</v>
      </c>
      <c r="G98" s="182">
        <f>SUM(G96:G97)</f>
        <v>2000</v>
      </c>
      <c r="H98" s="182">
        <f>SUM(H96:H97)</f>
        <v>8841</v>
      </c>
      <c r="I98" s="182">
        <f>SUM(I96)</f>
        <v>9000</v>
      </c>
      <c r="J98" s="182">
        <f>SUM(J96)</f>
        <v>103000</v>
      </c>
      <c r="K98" s="182">
        <f>SUM(K96:K97)</f>
        <v>103000</v>
      </c>
      <c r="L98" s="96"/>
    </row>
    <row r="99" spans="1:12" x14ac:dyDescent="0.25">
      <c r="A99" s="158">
        <v>550.01</v>
      </c>
      <c r="B99" s="159" t="s">
        <v>203</v>
      </c>
      <c r="C99" s="178"/>
      <c r="D99" s="156"/>
      <c r="E99" s="178"/>
      <c r="F99" s="156">
        <v>0</v>
      </c>
      <c r="G99" s="121">
        <v>200</v>
      </c>
      <c r="H99" s="121">
        <v>168</v>
      </c>
      <c r="I99" s="121">
        <v>200</v>
      </c>
      <c r="J99" s="121">
        <v>1000</v>
      </c>
      <c r="K99" s="121">
        <v>1000</v>
      </c>
    </row>
    <row r="100" spans="1:12" x14ac:dyDescent="0.25">
      <c r="A100" s="158">
        <v>550.02</v>
      </c>
      <c r="B100" s="159" t="s">
        <v>176</v>
      </c>
      <c r="C100" s="178">
        <v>8000</v>
      </c>
      <c r="D100" s="156">
        <v>0</v>
      </c>
      <c r="E100" s="178">
        <v>0</v>
      </c>
      <c r="F100" s="156">
        <v>200</v>
      </c>
      <c r="G100" s="121">
        <v>200</v>
      </c>
      <c r="H100" s="121">
        <v>0</v>
      </c>
      <c r="I100" s="121">
        <v>200</v>
      </c>
      <c r="J100" s="121">
        <v>200</v>
      </c>
      <c r="K100" s="121">
        <v>200</v>
      </c>
      <c r="L100" s="146"/>
    </row>
    <row r="101" spans="1:12" x14ac:dyDescent="0.25">
      <c r="A101" s="284">
        <v>550.05999999999995</v>
      </c>
      <c r="B101" s="285" t="s">
        <v>732</v>
      </c>
      <c r="C101" s="178"/>
      <c r="D101" s="156"/>
      <c r="E101" s="178"/>
      <c r="F101" s="156"/>
      <c r="G101" s="147">
        <v>3500</v>
      </c>
      <c r="H101" s="121">
        <v>140</v>
      </c>
      <c r="I101" s="147">
        <v>2140</v>
      </c>
      <c r="J101" s="147">
        <v>2000</v>
      </c>
      <c r="K101" s="121">
        <v>2000</v>
      </c>
      <c r="L101" s="146"/>
    </row>
    <row r="102" spans="1:12" ht="18.75" thickBot="1" x14ac:dyDescent="0.3">
      <c r="A102" s="456" t="s">
        <v>175</v>
      </c>
      <c r="B102" s="457"/>
      <c r="C102" s="277"/>
      <c r="D102" s="278"/>
      <c r="E102" s="277"/>
      <c r="F102" s="278">
        <f>SUM(F100)</f>
        <v>200</v>
      </c>
      <c r="G102" s="182">
        <f>SUM(G99:G101)</f>
        <v>3900</v>
      </c>
      <c r="H102" s="182">
        <f>SUM(H99:H101)</f>
        <v>308</v>
      </c>
      <c r="I102" s="182">
        <f>SUM(I99:I101)</f>
        <v>2540</v>
      </c>
      <c r="J102" s="182">
        <f>SUM(J99:J101)</f>
        <v>3200</v>
      </c>
      <c r="K102" s="182">
        <f>SUM(K99:K101)</f>
        <v>3200</v>
      </c>
      <c r="L102" s="146"/>
    </row>
    <row r="103" spans="1:12" x14ac:dyDescent="0.25">
      <c r="A103" s="438">
        <v>561.03</v>
      </c>
      <c r="B103" s="439" t="s">
        <v>695</v>
      </c>
      <c r="C103" s="178">
        <v>7000</v>
      </c>
      <c r="D103" s="156">
        <v>2910</v>
      </c>
      <c r="E103" s="178">
        <v>4365</v>
      </c>
      <c r="F103" s="156">
        <v>2000</v>
      </c>
      <c r="G103" s="112">
        <v>0</v>
      </c>
      <c r="H103" s="112">
        <v>30</v>
      </c>
      <c r="I103" s="112">
        <v>30</v>
      </c>
      <c r="J103" s="112">
        <f>SUM('Budget Req - Gen Admin'!E100)</f>
        <v>0</v>
      </c>
      <c r="K103" s="112">
        <f>SUM('Budget Req - Gen Admin'!F100)</f>
        <v>0</v>
      </c>
    </row>
    <row r="104" spans="1:12" x14ac:dyDescent="0.25">
      <c r="A104" s="158">
        <v>560.04999999999995</v>
      </c>
      <c r="B104" s="159" t="s">
        <v>181</v>
      </c>
      <c r="C104" s="178">
        <v>2000</v>
      </c>
      <c r="D104" s="156">
        <v>1246</v>
      </c>
      <c r="E104" s="178">
        <v>1869</v>
      </c>
      <c r="F104" s="156">
        <v>1500</v>
      </c>
      <c r="G104" s="121">
        <v>4500</v>
      </c>
      <c r="H104" s="121">
        <v>3764</v>
      </c>
      <c r="I104" s="121">
        <v>4500</v>
      </c>
      <c r="J104" s="121">
        <v>4500</v>
      </c>
      <c r="K104" s="121">
        <v>4500</v>
      </c>
    </row>
    <row r="105" spans="1:12" x14ac:dyDescent="0.25">
      <c r="A105" s="158">
        <v>559.1</v>
      </c>
      <c r="B105" s="159" t="s">
        <v>180</v>
      </c>
      <c r="C105" s="178"/>
      <c r="D105" s="156"/>
      <c r="E105" s="178"/>
      <c r="F105" s="156">
        <v>2500</v>
      </c>
      <c r="G105" s="121">
        <v>1300</v>
      </c>
      <c r="H105" s="121">
        <v>560</v>
      </c>
      <c r="I105" s="121">
        <v>1300</v>
      </c>
      <c r="J105" s="121">
        <f>SUM('Budget Req - Gen Admin'!E101)</f>
        <v>1300</v>
      </c>
      <c r="K105" s="121">
        <v>1300</v>
      </c>
    </row>
    <row r="106" spans="1:12" x14ac:dyDescent="0.25">
      <c r="A106" s="284">
        <v>560.11</v>
      </c>
      <c r="B106" s="285" t="s">
        <v>694</v>
      </c>
      <c r="C106" s="178"/>
      <c r="D106" s="156"/>
      <c r="E106" s="178"/>
      <c r="F106" s="156">
        <v>2500</v>
      </c>
      <c r="G106" s="147">
        <v>1300</v>
      </c>
      <c r="H106" s="147">
        <v>871</v>
      </c>
      <c r="I106" s="147">
        <v>1300</v>
      </c>
      <c r="J106" s="147">
        <v>1800</v>
      </c>
      <c r="K106" s="147">
        <v>1800</v>
      </c>
    </row>
    <row r="107" spans="1:12" x14ac:dyDescent="0.25">
      <c r="A107" s="458" t="s">
        <v>178</v>
      </c>
      <c r="B107" s="292"/>
      <c r="C107" s="152"/>
      <c r="D107" s="153"/>
      <c r="E107" s="152"/>
      <c r="F107" s="153">
        <f t="shared" ref="F107:K107" si="10">SUM(F103:F106)</f>
        <v>8500</v>
      </c>
      <c r="G107" s="112">
        <f t="shared" si="10"/>
        <v>7100</v>
      </c>
      <c r="H107" s="112">
        <f t="shared" si="10"/>
        <v>5225</v>
      </c>
      <c r="I107" s="112">
        <f t="shared" si="10"/>
        <v>7130</v>
      </c>
      <c r="J107" s="112">
        <f t="shared" si="10"/>
        <v>7600</v>
      </c>
      <c r="K107" s="112">
        <f t="shared" si="10"/>
        <v>7600</v>
      </c>
    </row>
    <row r="108" spans="1:12" x14ac:dyDescent="0.25">
      <c r="A108" s="438">
        <v>580.01</v>
      </c>
      <c r="B108" s="439" t="s">
        <v>182</v>
      </c>
      <c r="C108" s="442">
        <v>4000</v>
      </c>
      <c r="D108" s="444">
        <v>0</v>
      </c>
      <c r="E108" s="442">
        <v>0</v>
      </c>
      <c r="F108" s="444">
        <v>285000</v>
      </c>
      <c r="G108" s="112">
        <v>0</v>
      </c>
      <c r="H108" s="112">
        <v>0</v>
      </c>
      <c r="I108" s="112">
        <v>0</v>
      </c>
      <c r="J108" s="112">
        <f>SUM('Budget Req - Gen Admin'!E105)</f>
        <v>0</v>
      </c>
      <c r="K108" s="112">
        <v>0</v>
      </c>
    </row>
    <row r="109" spans="1:12" x14ac:dyDescent="0.25">
      <c r="A109" s="158">
        <v>580.09</v>
      </c>
      <c r="B109" s="159" t="s">
        <v>183</v>
      </c>
      <c r="C109" s="178">
        <v>461446</v>
      </c>
      <c r="D109" s="156">
        <v>276462</v>
      </c>
      <c r="E109" s="178">
        <v>414693</v>
      </c>
      <c r="F109" s="156">
        <v>300</v>
      </c>
      <c r="G109" s="121">
        <v>300</v>
      </c>
      <c r="H109" s="121">
        <v>125</v>
      </c>
      <c r="I109" s="121">
        <v>300</v>
      </c>
      <c r="J109" s="121">
        <v>1000</v>
      </c>
      <c r="K109" s="121">
        <v>1000</v>
      </c>
    </row>
    <row r="110" spans="1:12" x14ac:dyDescent="0.25">
      <c r="A110" s="284">
        <v>580.20000000000005</v>
      </c>
      <c r="B110" s="285" t="s">
        <v>216</v>
      </c>
      <c r="C110" s="178"/>
      <c r="D110" s="156"/>
      <c r="E110" s="178"/>
      <c r="F110" s="156">
        <v>0</v>
      </c>
      <c r="G110" s="147">
        <v>0</v>
      </c>
      <c r="H110" s="147">
        <v>0</v>
      </c>
      <c r="I110" s="147">
        <v>0</v>
      </c>
      <c r="J110" s="147">
        <v>0</v>
      </c>
      <c r="K110" s="147">
        <v>0</v>
      </c>
    </row>
    <row r="111" spans="1:12" ht="18.75" thickBot="1" x14ac:dyDescent="0.3">
      <c r="A111" s="287" t="s">
        <v>342</v>
      </c>
      <c r="B111" s="288"/>
      <c r="C111" s="277"/>
      <c r="D111" s="278"/>
      <c r="E111" s="277"/>
      <c r="F111" s="278">
        <f>SUM(F108:F110)</f>
        <v>285300</v>
      </c>
      <c r="G111" s="182">
        <f>SUM(G108:G110)</f>
        <v>300</v>
      </c>
      <c r="H111" s="182">
        <f>SUM(H108:H110)</f>
        <v>125</v>
      </c>
      <c r="I111" s="182">
        <f>SUM(I108:I109)</f>
        <v>300</v>
      </c>
      <c r="J111" s="182">
        <f>SUM(J108:J110)</f>
        <v>1000</v>
      </c>
      <c r="K111" s="182">
        <f>SUM(K108:K110)</f>
        <v>1000</v>
      </c>
    </row>
    <row r="112" spans="1:12" x14ac:dyDescent="0.25">
      <c r="A112" s="158">
        <v>590.01</v>
      </c>
      <c r="B112" s="159" t="s">
        <v>339</v>
      </c>
      <c r="C112" s="178"/>
      <c r="D112" s="156"/>
      <c r="E112" s="178"/>
      <c r="F112" s="156">
        <v>2600</v>
      </c>
      <c r="G112" s="121">
        <v>500</v>
      </c>
      <c r="H112" s="121">
        <v>38</v>
      </c>
      <c r="I112" s="121">
        <v>500</v>
      </c>
      <c r="J112" s="121">
        <f>SUM('Budget Req - Gen Admin'!E109)</f>
        <v>1000</v>
      </c>
      <c r="K112" s="121">
        <v>1000</v>
      </c>
    </row>
    <row r="113" spans="1:12" x14ac:dyDescent="0.25">
      <c r="A113" s="284">
        <v>590.02</v>
      </c>
      <c r="B113" s="285" t="s">
        <v>893</v>
      </c>
      <c r="C113" s="178">
        <v>155969</v>
      </c>
      <c r="D113" s="156">
        <v>155969</v>
      </c>
      <c r="E113" s="178">
        <v>155969</v>
      </c>
      <c r="F113" s="156">
        <v>0</v>
      </c>
      <c r="G113" s="147">
        <v>2450</v>
      </c>
      <c r="H113" s="147">
        <v>0</v>
      </c>
      <c r="I113" s="147">
        <v>2450</v>
      </c>
      <c r="J113" s="147">
        <f>SUM('Budget Req - Gen Admin'!E113)</f>
        <v>3500</v>
      </c>
      <c r="K113" s="147">
        <v>3500</v>
      </c>
    </row>
    <row r="114" spans="1:12" ht="18.75" thickBot="1" x14ac:dyDescent="0.3">
      <c r="A114" s="287" t="s">
        <v>274</v>
      </c>
      <c r="B114" s="288"/>
      <c r="C114" s="277"/>
      <c r="D114" s="278"/>
      <c r="E114" s="277"/>
      <c r="F114" s="278">
        <f t="shared" ref="F114:K114" si="11">SUM(F112:F113)</f>
        <v>2600</v>
      </c>
      <c r="G114" s="182">
        <f t="shared" si="11"/>
        <v>2950</v>
      </c>
      <c r="H114" s="182">
        <f t="shared" si="11"/>
        <v>38</v>
      </c>
      <c r="I114" s="182">
        <f t="shared" si="11"/>
        <v>2950</v>
      </c>
      <c r="J114" s="182">
        <f t="shared" si="11"/>
        <v>4500</v>
      </c>
      <c r="K114" s="182">
        <f t="shared" si="11"/>
        <v>4500</v>
      </c>
    </row>
    <row r="115" spans="1:12" s="188" customFormat="1" x14ac:dyDescent="0.25">
      <c r="A115" s="459" t="s">
        <v>184</v>
      </c>
      <c r="B115" s="159" t="s">
        <v>186</v>
      </c>
      <c r="C115" s="178">
        <v>4500</v>
      </c>
      <c r="D115" s="156">
        <v>2009</v>
      </c>
      <c r="E115" s="178">
        <v>3014</v>
      </c>
      <c r="F115" s="156">
        <v>163564</v>
      </c>
      <c r="G115" s="121">
        <v>201462</v>
      </c>
      <c r="H115" s="121">
        <v>147349</v>
      </c>
      <c r="I115" s="121">
        <v>201462</v>
      </c>
      <c r="J115" s="121">
        <f>SUM('Budget Req - Gen Admin'!E115)</f>
        <v>201000</v>
      </c>
      <c r="K115" s="121">
        <v>201000</v>
      </c>
      <c r="L115" s="96"/>
    </row>
    <row r="116" spans="1:12" x14ac:dyDescent="0.25">
      <c r="A116" s="158">
        <v>610.02</v>
      </c>
      <c r="B116" s="159" t="s">
        <v>187</v>
      </c>
      <c r="C116" s="152">
        <v>10000</v>
      </c>
      <c r="D116" s="178">
        <v>8484</v>
      </c>
      <c r="E116" s="178">
        <v>10000</v>
      </c>
      <c r="F116" s="153">
        <v>550000</v>
      </c>
      <c r="G116" s="121">
        <v>677000</v>
      </c>
      <c r="H116" s="121">
        <v>399007</v>
      </c>
      <c r="I116" s="121">
        <f>+H116+(57000*5)</f>
        <v>684007</v>
      </c>
      <c r="J116" s="121">
        <f>SUM('Budget Req - Gen Admin'!E120)</f>
        <v>684000</v>
      </c>
      <c r="K116" s="121">
        <v>684000</v>
      </c>
    </row>
    <row r="117" spans="1:12" x14ac:dyDescent="0.25">
      <c r="A117" s="158">
        <v>610.03</v>
      </c>
      <c r="B117" s="159" t="s">
        <v>17</v>
      </c>
      <c r="C117" s="152">
        <v>10000</v>
      </c>
      <c r="D117" s="156">
        <v>2937</v>
      </c>
      <c r="E117" s="178">
        <v>4405</v>
      </c>
      <c r="F117" s="153">
        <v>33000</v>
      </c>
      <c r="G117" s="121">
        <v>52224</v>
      </c>
      <c r="H117" s="121">
        <v>110928</v>
      </c>
      <c r="I117" s="121">
        <v>110928</v>
      </c>
      <c r="J117" s="121">
        <f>SUM('Budget Req - Gen Admin'!E122)</f>
        <v>121000.00000000001</v>
      </c>
      <c r="K117" s="121">
        <v>121000</v>
      </c>
      <c r="L117" s="180"/>
    </row>
    <row r="118" spans="1:12" x14ac:dyDescent="0.25">
      <c r="A118" s="158">
        <v>610.04999999999995</v>
      </c>
      <c r="B118" s="159" t="s">
        <v>188</v>
      </c>
      <c r="C118" s="460"/>
      <c r="D118" s="228"/>
      <c r="E118" s="228"/>
      <c r="F118" s="153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0</v>
      </c>
      <c r="L118" s="190"/>
    </row>
    <row r="119" spans="1:12" x14ac:dyDescent="0.25">
      <c r="A119" s="158">
        <v>610.05999999999995</v>
      </c>
      <c r="B119" s="159" t="s">
        <v>189</v>
      </c>
      <c r="C119" s="460"/>
      <c r="D119" s="228"/>
      <c r="E119" s="228"/>
      <c r="F119" s="156">
        <v>5600</v>
      </c>
      <c r="G119" s="121">
        <v>4312</v>
      </c>
      <c r="H119" s="121">
        <v>5116</v>
      </c>
      <c r="I119" s="121">
        <v>5116</v>
      </c>
      <c r="J119" s="121">
        <v>6821</v>
      </c>
      <c r="K119" s="121">
        <v>6821</v>
      </c>
    </row>
    <row r="120" spans="1:12" x14ac:dyDescent="0.25">
      <c r="A120" s="158">
        <v>610.07000000000005</v>
      </c>
      <c r="B120" s="159" t="s">
        <v>190</v>
      </c>
      <c r="C120" s="228"/>
      <c r="D120" s="228"/>
      <c r="E120" s="228"/>
      <c r="F120" s="156">
        <v>5000</v>
      </c>
      <c r="G120" s="121">
        <v>10000</v>
      </c>
      <c r="H120" s="121">
        <v>10715</v>
      </c>
      <c r="I120" s="121">
        <v>10715</v>
      </c>
      <c r="J120" s="121">
        <f>SUM('Budget Req - Gen Admin'!E126)</f>
        <v>5000</v>
      </c>
      <c r="K120" s="121">
        <v>5000</v>
      </c>
    </row>
    <row r="121" spans="1:12" x14ac:dyDescent="0.25">
      <c r="A121" s="158">
        <v>610.08000000000004</v>
      </c>
      <c r="B121" s="159" t="s">
        <v>191</v>
      </c>
      <c r="C121" s="228"/>
      <c r="D121" s="228"/>
      <c r="E121" s="228"/>
      <c r="F121" s="156">
        <v>15000</v>
      </c>
      <c r="G121" s="121">
        <v>10000</v>
      </c>
      <c r="H121" s="121">
        <v>0</v>
      </c>
      <c r="I121" s="121">
        <v>10000</v>
      </c>
      <c r="J121" s="121">
        <f>SUM('Budget Req - Gen Admin'!E130)</f>
        <v>21000</v>
      </c>
      <c r="K121" s="121">
        <v>21000</v>
      </c>
    </row>
    <row r="122" spans="1:12" s="164" customFormat="1" x14ac:dyDescent="0.25">
      <c r="A122" s="158">
        <v>610.09</v>
      </c>
      <c r="B122" s="159" t="s">
        <v>74</v>
      </c>
      <c r="C122" s="228"/>
      <c r="D122" s="228"/>
      <c r="E122" s="228"/>
      <c r="F122" s="156">
        <v>0</v>
      </c>
      <c r="G122" s="121">
        <v>200000</v>
      </c>
      <c r="H122" s="121">
        <v>19505</v>
      </c>
      <c r="I122" s="121">
        <v>200000</v>
      </c>
      <c r="J122" s="202">
        <v>0</v>
      </c>
      <c r="K122" s="202">
        <v>0</v>
      </c>
      <c r="L122" s="96"/>
    </row>
    <row r="123" spans="1:12" x14ac:dyDescent="0.25">
      <c r="A123" s="284">
        <v>610.1</v>
      </c>
      <c r="B123" s="285" t="s">
        <v>688</v>
      </c>
      <c r="C123" s="228"/>
      <c r="D123" s="228"/>
      <c r="E123" s="228"/>
      <c r="F123" s="156"/>
      <c r="G123" s="147">
        <v>96000</v>
      </c>
      <c r="H123" s="147">
        <v>72000</v>
      </c>
      <c r="I123" s="147">
        <v>96000</v>
      </c>
      <c r="J123" s="286">
        <v>96000</v>
      </c>
      <c r="K123" s="286">
        <v>96000</v>
      </c>
      <c r="L123" s="164"/>
    </row>
    <row r="124" spans="1:12" s="146" customFormat="1" ht="18.75" thickBot="1" x14ac:dyDescent="0.3">
      <c r="A124" s="287" t="s">
        <v>185</v>
      </c>
      <c r="B124" s="288"/>
      <c r="C124" s="457"/>
      <c r="D124" s="457"/>
      <c r="E124" s="457"/>
      <c r="F124" s="278">
        <f>SUM(F115:F122)</f>
        <v>772164</v>
      </c>
      <c r="G124" s="182">
        <f>SUM(G115:G123)</f>
        <v>1250998</v>
      </c>
      <c r="H124" s="182">
        <f>SUM(H115:H123)</f>
        <v>764620</v>
      </c>
      <c r="I124" s="182">
        <f>SUM(I115:I123)</f>
        <v>1318228</v>
      </c>
      <c r="J124" s="182">
        <f>SUM(J115:J123)</f>
        <v>1134821</v>
      </c>
      <c r="K124" s="182">
        <f>SUM(K115:K123)</f>
        <v>1134821</v>
      </c>
      <c r="L124" s="96"/>
    </row>
    <row r="125" spans="1:12" ht="18.75" thickBot="1" x14ac:dyDescent="0.3">
      <c r="A125" s="524" t="s">
        <v>25</v>
      </c>
      <c r="B125" s="542"/>
      <c r="C125" s="461">
        <f>SUM(C65:C118)</f>
        <v>896275</v>
      </c>
      <c r="D125" s="462">
        <f>SUM(D65:D120)</f>
        <v>605187</v>
      </c>
      <c r="E125" s="461">
        <f>SUM(E65:E118)</f>
        <v>813697</v>
      </c>
      <c r="F125" s="462">
        <f t="shared" ref="F125:K125" si="12">SUM(F75+F85+F95+F98+F102+F107+F111+F114+F124)</f>
        <v>1366883.6400000001</v>
      </c>
      <c r="G125" s="447">
        <f t="shared" si="12"/>
        <v>1557464</v>
      </c>
      <c r="H125" s="447">
        <f t="shared" si="12"/>
        <v>999256</v>
      </c>
      <c r="I125" s="447">
        <f t="shared" si="12"/>
        <v>1642643.4906000001</v>
      </c>
      <c r="J125" s="447">
        <f t="shared" si="12"/>
        <v>1626216.2301360001</v>
      </c>
      <c r="K125" s="448">
        <f t="shared" si="12"/>
        <v>1659055.3006</v>
      </c>
    </row>
    <row r="126" spans="1:12" x14ac:dyDescent="0.25">
      <c r="A126" s="98"/>
      <c r="B126" s="193"/>
      <c r="C126" s="189"/>
      <c r="D126" s="194"/>
      <c r="E126" s="189"/>
      <c r="F126" s="145"/>
      <c r="G126" s="163"/>
      <c r="H126" s="163"/>
      <c r="I126" s="163"/>
      <c r="J126" s="163"/>
      <c r="K126" s="163"/>
    </row>
    <row r="127" spans="1:12" x14ac:dyDescent="0.25">
      <c r="A127" s="519"/>
      <c r="B127" s="536"/>
      <c r="C127" s="536"/>
      <c r="D127" s="536"/>
      <c r="E127" s="536"/>
      <c r="F127" s="518"/>
      <c r="G127" s="195"/>
      <c r="H127" s="173"/>
      <c r="I127" s="172" t="str">
        <f>+I2</f>
        <v xml:space="preserve"> Estimated</v>
      </c>
      <c r="J127" s="172" t="s">
        <v>1093</v>
      </c>
      <c r="K127" s="172" t="s">
        <v>1075</v>
      </c>
    </row>
    <row r="128" spans="1:12" x14ac:dyDescent="0.25">
      <c r="A128" s="103" t="s">
        <v>192</v>
      </c>
      <c r="B128" s="104"/>
      <c r="C128" s="104" t="s">
        <v>27</v>
      </c>
      <c r="D128" s="104" t="s">
        <v>30</v>
      </c>
      <c r="E128" s="104" t="s">
        <v>29</v>
      </c>
      <c r="F128" s="174" t="s">
        <v>405</v>
      </c>
      <c r="G128" s="175" t="str">
        <f>+G3</f>
        <v>Budget 2016-17</v>
      </c>
      <c r="H128" s="175" t="str">
        <f>+H3</f>
        <v>Actual 5/31/17</v>
      </c>
      <c r="I128" s="196">
        <f>+I3</f>
        <v>43008</v>
      </c>
      <c r="J128" s="175" t="str">
        <f>+J3</f>
        <v>Budget 2017-18</v>
      </c>
      <c r="K128" s="175" t="s">
        <v>1076</v>
      </c>
      <c r="L128" s="146"/>
    </row>
    <row r="129" spans="1:12" x14ac:dyDescent="0.25">
      <c r="A129" s="463" t="s">
        <v>193</v>
      </c>
      <c r="B129" s="464" t="s">
        <v>5</v>
      </c>
      <c r="C129" s="156">
        <v>306840</v>
      </c>
      <c r="D129" s="156">
        <v>174588</v>
      </c>
      <c r="E129" s="156">
        <v>261882</v>
      </c>
      <c r="F129" s="156">
        <v>411513</v>
      </c>
      <c r="G129" s="306">
        <v>624231</v>
      </c>
      <c r="H129" s="306">
        <v>426767</v>
      </c>
      <c r="I129" s="112">
        <f>+H129+(47200*4)</f>
        <v>615567</v>
      </c>
      <c r="J129" s="112">
        <f>SUM('Personnel Sched-PD'!I39)</f>
        <v>699863.79400000011</v>
      </c>
      <c r="K129" s="112">
        <v>699864</v>
      </c>
    </row>
    <row r="130" spans="1:12" x14ac:dyDescent="0.25">
      <c r="A130" s="201">
        <v>510.03</v>
      </c>
      <c r="B130" s="201" t="s">
        <v>50</v>
      </c>
      <c r="C130" s="156">
        <v>23800</v>
      </c>
      <c r="D130" s="156">
        <v>12903</v>
      </c>
      <c r="E130" s="156">
        <v>19354</v>
      </c>
      <c r="F130" s="156">
        <v>500</v>
      </c>
      <c r="G130" s="202">
        <v>700</v>
      </c>
      <c r="H130" s="202">
        <v>-173</v>
      </c>
      <c r="I130" s="121">
        <v>100</v>
      </c>
      <c r="J130" s="121">
        <v>5000</v>
      </c>
      <c r="K130" s="121">
        <v>5000</v>
      </c>
    </row>
    <row r="131" spans="1:12" x14ac:dyDescent="0.25">
      <c r="A131" s="201">
        <v>510.05</v>
      </c>
      <c r="B131" s="201" t="s">
        <v>194</v>
      </c>
      <c r="C131" s="156">
        <v>16200</v>
      </c>
      <c r="D131" s="156">
        <v>9100</v>
      </c>
      <c r="E131" s="156">
        <v>13650</v>
      </c>
      <c r="F131" s="156">
        <v>71489</v>
      </c>
      <c r="G131" s="202">
        <v>92700</v>
      </c>
      <c r="H131" s="202">
        <v>51998</v>
      </c>
      <c r="I131" s="121">
        <f>(+H131/7)*12</f>
        <v>89139.42857142858</v>
      </c>
      <c r="J131" s="121">
        <f>SUM('Budget Req-PD'!E13)</f>
        <v>102635.62</v>
      </c>
      <c r="K131" s="121">
        <v>111596</v>
      </c>
    </row>
    <row r="132" spans="1:12" x14ac:dyDescent="0.25">
      <c r="A132" s="201">
        <v>510.06</v>
      </c>
      <c r="B132" s="201" t="s">
        <v>19</v>
      </c>
      <c r="C132" s="156">
        <v>37000</v>
      </c>
      <c r="D132" s="156">
        <v>21859</v>
      </c>
      <c r="E132" s="156">
        <v>32788</v>
      </c>
      <c r="F132" s="156">
        <v>31480.74</v>
      </c>
      <c r="G132" s="202">
        <v>47754</v>
      </c>
      <c r="H132" s="202">
        <v>31796</v>
      </c>
      <c r="I132" s="121">
        <f>+I129*0.07</f>
        <v>43089.69</v>
      </c>
      <c r="J132" s="121">
        <f>SUM('Budget Req-PD'!E15)</f>
        <v>53539.580241000011</v>
      </c>
      <c r="K132" s="121">
        <f>SUM(K129*0.0765)</f>
        <v>53539.595999999998</v>
      </c>
    </row>
    <row r="133" spans="1:12" x14ac:dyDescent="0.25">
      <c r="A133" s="201">
        <v>510.07</v>
      </c>
      <c r="B133" s="201" t="s">
        <v>158</v>
      </c>
      <c r="C133" s="156">
        <v>1500</v>
      </c>
      <c r="D133" s="156">
        <v>1447</v>
      </c>
      <c r="E133" s="156">
        <v>2171</v>
      </c>
      <c r="F133" s="156">
        <v>17489.3</v>
      </c>
      <c r="G133" s="202">
        <v>31773</v>
      </c>
      <c r="H133" s="202">
        <v>16928</v>
      </c>
      <c r="I133" s="121">
        <f>+I129*0.0502</f>
        <v>30901.463400000001</v>
      </c>
      <c r="J133" s="121">
        <f>SUM('Budget Req-PD'!E17)</f>
        <v>35133.162458800005</v>
      </c>
      <c r="K133" s="121">
        <f>SUM(K129*0.0509)</f>
        <v>35623.077600000004</v>
      </c>
    </row>
    <row r="134" spans="1:12" x14ac:dyDescent="0.25">
      <c r="A134" s="201">
        <v>510.08</v>
      </c>
      <c r="B134" s="201" t="s">
        <v>326</v>
      </c>
      <c r="C134" s="156"/>
      <c r="D134" s="156"/>
      <c r="E134" s="156"/>
      <c r="F134" s="156">
        <v>8866</v>
      </c>
      <c r="G134" s="202">
        <v>13440</v>
      </c>
      <c r="H134" s="202">
        <v>9585</v>
      </c>
      <c r="I134" s="121">
        <v>13500</v>
      </c>
      <c r="J134" s="121">
        <f>SUM('Budget Req-PD'!E21)</f>
        <v>13439.615</v>
      </c>
      <c r="K134" s="121">
        <v>15326</v>
      </c>
    </row>
    <row r="135" spans="1:12" x14ac:dyDescent="0.25">
      <c r="A135" s="201">
        <v>510.09</v>
      </c>
      <c r="B135" s="201" t="s">
        <v>844</v>
      </c>
      <c r="C135" s="156">
        <v>6500</v>
      </c>
      <c r="D135" s="156">
        <v>4175</v>
      </c>
      <c r="E135" s="156">
        <v>6226</v>
      </c>
      <c r="F135" s="156">
        <v>6300</v>
      </c>
      <c r="G135" s="202">
        <v>15369</v>
      </c>
      <c r="H135" s="202">
        <v>0</v>
      </c>
      <c r="I135" s="121">
        <v>15369</v>
      </c>
      <c r="J135" s="121">
        <f>SUM('Budget Req-PD'!E28)+(+J129*0.01)</f>
        <v>24367.577940000003</v>
      </c>
      <c r="K135" s="121">
        <v>24368</v>
      </c>
    </row>
    <row r="136" spans="1:12" x14ac:dyDescent="0.25">
      <c r="A136" s="201">
        <v>510.11</v>
      </c>
      <c r="B136" s="201" t="s">
        <v>195</v>
      </c>
      <c r="C136" s="156">
        <v>0</v>
      </c>
      <c r="D136" s="156">
        <v>0</v>
      </c>
      <c r="E136" s="156">
        <v>0</v>
      </c>
      <c r="F136" s="156">
        <v>20000</v>
      </c>
      <c r="G136" s="202">
        <v>0</v>
      </c>
      <c r="H136" s="202">
        <v>1200</v>
      </c>
      <c r="I136" s="121">
        <v>1200</v>
      </c>
      <c r="J136" s="121">
        <f>SUM('Budget Req-PD'!E30)</f>
        <v>0</v>
      </c>
      <c r="K136" s="121">
        <f>SUM('Budget Req-PD'!F30)</f>
        <v>0</v>
      </c>
    </row>
    <row r="137" spans="1:12" x14ac:dyDescent="0.25">
      <c r="A137" s="465">
        <v>510.12</v>
      </c>
      <c r="B137" s="465" t="s">
        <v>536</v>
      </c>
      <c r="C137" s="156"/>
      <c r="D137" s="156"/>
      <c r="E137" s="156"/>
      <c r="F137" s="156">
        <v>0</v>
      </c>
      <c r="G137" s="286">
        <v>15300</v>
      </c>
      <c r="H137" s="286">
        <v>0</v>
      </c>
      <c r="I137" s="147">
        <v>15300</v>
      </c>
      <c r="J137" s="147">
        <f>SUM('Budget Req-PD'!E32)</f>
        <v>12000</v>
      </c>
      <c r="K137" s="147">
        <v>17100</v>
      </c>
    </row>
    <row r="138" spans="1:12" ht="18.75" thickBot="1" x14ac:dyDescent="0.3">
      <c r="A138" s="289" t="s">
        <v>159</v>
      </c>
      <c r="B138" s="290"/>
      <c r="C138" s="278"/>
      <c r="D138" s="278"/>
      <c r="E138" s="278"/>
      <c r="F138" s="278">
        <f t="shared" ref="F138:K138" si="13">SUM(F129:F137)</f>
        <v>567638.04</v>
      </c>
      <c r="G138" s="182">
        <f t="shared" si="13"/>
        <v>841267</v>
      </c>
      <c r="H138" s="182">
        <f t="shared" si="13"/>
        <v>538101</v>
      </c>
      <c r="I138" s="182">
        <f t="shared" si="13"/>
        <v>824166.58197142859</v>
      </c>
      <c r="J138" s="182">
        <f t="shared" si="13"/>
        <v>945979.34963980014</v>
      </c>
      <c r="K138" s="182">
        <f t="shared" si="13"/>
        <v>962416.67359999998</v>
      </c>
    </row>
    <row r="139" spans="1:12" x14ac:dyDescent="0.25">
      <c r="A139" s="201">
        <v>520.01</v>
      </c>
      <c r="B139" s="201" t="s">
        <v>161</v>
      </c>
      <c r="C139" s="156">
        <v>4500</v>
      </c>
      <c r="D139" s="156">
        <v>2624</v>
      </c>
      <c r="E139" s="156">
        <v>3936</v>
      </c>
      <c r="F139" s="156">
        <v>2900</v>
      </c>
      <c r="G139" s="202">
        <v>2800</v>
      </c>
      <c r="H139" s="202">
        <v>2154</v>
      </c>
      <c r="I139" s="121">
        <v>2800</v>
      </c>
      <c r="J139" s="121">
        <f>SUM('Budget Req-PD'!E34)</f>
        <v>3000</v>
      </c>
      <c r="K139" s="121">
        <v>3000</v>
      </c>
    </row>
    <row r="140" spans="1:12" x14ac:dyDescent="0.25">
      <c r="A140" s="201">
        <v>520.02</v>
      </c>
      <c r="B140" s="201" t="s">
        <v>196</v>
      </c>
      <c r="C140" s="156">
        <v>5000</v>
      </c>
      <c r="D140" s="282">
        <v>2678</v>
      </c>
      <c r="E140" s="156">
        <v>4017</v>
      </c>
      <c r="F140" s="156">
        <v>480</v>
      </c>
      <c r="G140" s="202">
        <v>400</v>
      </c>
      <c r="H140" s="202">
        <v>184</v>
      </c>
      <c r="I140" s="121">
        <v>400</v>
      </c>
      <c r="J140" s="121">
        <f>SUM('Budget Req-PD'!E36)</f>
        <v>400</v>
      </c>
      <c r="K140" s="121">
        <v>400</v>
      </c>
    </row>
    <row r="141" spans="1:12" x14ac:dyDescent="0.25">
      <c r="A141" s="201">
        <v>520.03</v>
      </c>
      <c r="B141" s="201" t="s">
        <v>742</v>
      </c>
      <c r="C141" s="156"/>
      <c r="D141" s="282"/>
      <c r="E141" s="156"/>
      <c r="F141" s="156"/>
      <c r="G141" s="202">
        <v>0</v>
      </c>
      <c r="H141" s="202">
        <v>201</v>
      </c>
      <c r="I141" s="121">
        <v>300</v>
      </c>
      <c r="J141" s="121">
        <v>300</v>
      </c>
      <c r="K141" s="121">
        <v>300</v>
      </c>
    </row>
    <row r="142" spans="1:12" x14ac:dyDescent="0.25">
      <c r="A142" s="201">
        <v>520.04</v>
      </c>
      <c r="B142" s="201" t="s">
        <v>197</v>
      </c>
      <c r="C142" s="156">
        <v>1500</v>
      </c>
      <c r="D142" s="156">
        <v>265</v>
      </c>
      <c r="E142" s="156">
        <v>397</v>
      </c>
      <c r="F142" s="156">
        <v>9000</v>
      </c>
      <c r="G142" s="202">
        <v>13200</v>
      </c>
      <c r="H142" s="121">
        <v>2886</v>
      </c>
      <c r="I142" s="121">
        <v>5700</v>
      </c>
      <c r="J142" s="121">
        <f>SUM('Budget Req-PD'!E43)</f>
        <v>8500</v>
      </c>
      <c r="K142" s="121">
        <v>8800</v>
      </c>
    </row>
    <row r="143" spans="1:12" x14ac:dyDescent="0.25">
      <c r="A143" s="201">
        <v>520.05999999999995</v>
      </c>
      <c r="B143" s="201" t="s">
        <v>198</v>
      </c>
      <c r="C143" s="156">
        <v>9000</v>
      </c>
      <c r="D143" s="156">
        <v>5535</v>
      </c>
      <c r="E143" s="156">
        <v>8302</v>
      </c>
      <c r="F143" s="156">
        <v>22600</v>
      </c>
      <c r="G143" s="202">
        <v>17500</v>
      </c>
      <c r="H143" s="202">
        <v>12989</v>
      </c>
      <c r="I143" s="121">
        <v>17500</v>
      </c>
      <c r="J143" s="121">
        <f>'Budget Req-PD'!E45</f>
        <v>18000</v>
      </c>
      <c r="K143" s="121">
        <v>18000</v>
      </c>
    </row>
    <row r="144" spans="1:12" x14ac:dyDescent="0.25">
      <c r="A144" s="201">
        <v>520.07000000000005</v>
      </c>
      <c r="B144" s="201" t="s">
        <v>199</v>
      </c>
      <c r="C144" s="156"/>
      <c r="D144" s="156"/>
      <c r="E144" s="156"/>
      <c r="F144" s="156">
        <v>2000</v>
      </c>
      <c r="G144" s="202">
        <v>2000</v>
      </c>
      <c r="H144" s="202">
        <v>273</v>
      </c>
      <c r="I144" s="121">
        <v>1500</v>
      </c>
      <c r="J144" s="121">
        <f>'Budget Req-PD'!E46</f>
        <v>2000</v>
      </c>
      <c r="K144" s="121">
        <v>2000</v>
      </c>
      <c r="L144" s="157"/>
    </row>
    <row r="145" spans="1:11" x14ac:dyDescent="0.25">
      <c r="A145" s="201">
        <v>520.08000000000004</v>
      </c>
      <c r="B145" s="201" t="s">
        <v>200</v>
      </c>
      <c r="C145" s="156">
        <v>7000</v>
      </c>
      <c r="D145" s="156">
        <v>3265</v>
      </c>
      <c r="E145" s="156">
        <v>4897</v>
      </c>
      <c r="F145" s="156">
        <v>500</v>
      </c>
      <c r="G145" s="202">
        <v>500</v>
      </c>
      <c r="H145" s="202">
        <v>225</v>
      </c>
      <c r="I145" s="121">
        <v>500</v>
      </c>
      <c r="J145" s="121">
        <f>'Budget Req-PD'!E47</f>
        <v>500</v>
      </c>
      <c r="K145" s="121">
        <v>500</v>
      </c>
    </row>
    <row r="146" spans="1:11" x14ac:dyDescent="0.25">
      <c r="A146" s="465">
        <v>520.1</v>
      </c>
      <c r="B146" s="465" t="s">
        <v>216</v>
      </c>
      <c r="C146" s="156"/>
      <c r="D146" s="156"/>
      <c r="E146" s="156"/>
      <c r="F146" s="156">
        <v>0</v>
      </c>
      <c r="G146" s="286">
        <v>0</v>
      </c>
      <c r="H146" s="147">
        <v>89</v>
      </c>
      <c r="I146" s="147">
        <v>100</v>
      </c>
      <c r="J146" s="147">
        <v>0</v>
      </c>
      <c r="K146" s="147">
        <v>0</v>
      </c>
    </row>
    <row r="147" spans="1:11" ht="18.75" thickBot="1" x14ac:dyDescent="0.3">
      <c r="A147" s="289" t="s">
        <v>166</v>
      </c>
      <c r="B147" s="290"/>
      <c r="C147" s="278"/>
      <c r="D147" s="278"/>
      <c r="E147" s="278"/>
      <c r="F147" s="278">
        <f t="shared" ref="F147:K147" si="14">SUM(F139:F146)</f>
        <v>37480</v>
      </c>
      <c r="G147" s="182">
        <f t="shared" si="14"/>
        <v>36400</v>
      </c>
      <c r="H147" s="182">
        <f t="shared" si="14"/>
        <v>19001</v>
      </c>
      <c r="I147" s="182">
        <f t="shared" si="14"/>
        <v>28800</v>
      </c>
      <c r="J147" s="182">
        <f t="shared" si="14"/>
        <v>32700</v>
      </c>
      <c r="K147" s="112">
        <f t="shared" si="14"/>
        <v>33000</v>
      </c>
    </row>
    <row r="148" spans="1:11" x14ac:dyDescent="0.25">
      <c r="A148" s="201">
        <v>530.01</v>
      </c>
      <c r="B148" s="201" t="s">
        <v>201</v>
      </c>
      <c r="C148" s="156">
        <v>15000</v>
      </c>
      <c r="D148" s="156">
        <v>0</v>
      </c>
      <c r="E148" s="156">
        <v>0</v>
      </c>
      <c r="F148" s="156">
        <v>10800</v>
      </c>
      <c r="G148" s="121">
        <v>16000</v>
      </c>
      <c r="H148" s="202">
        <v>14839</v>
      </c>
      <c r="I148" s="121">
        <f>17517+(2670*3)</f>
        <v>25527</v>
      </c>
      <c r="J148" s="121">
        <f>SUM('Budget Req-PD'!E51)</f>
        <v>21600</v>
      </c>
      <c r="K148" s="112">
        <v>21600</v>
      </c>
    </row>
    <row r="149" spans="1:11" x14ac:dyDescent="0.25">
      <c r="A149" s="201">
        <v>530.02</v>
      </c>
      <c r="B149" s="201" t="s">
        <v>71</v>
      </c>
      <c r="C149" s="156">
        <v>25000</v>
      </c>
      <c r="D149" s="156">
        <v>6802</v>
      </c>
      <c r="E149" s="156">
        <v>10203</v>
      </c>
      <c r="F149" s="156">
        <v>1200</v>
      </c>
      <c r="G149" s="121">
        <v>1800</v>
      </c>
      <c r="H149" s="202">
        <v>972</v>
      </c>
      <c r="I149" s="121">
        <v>1800</v>
      </c>
      <c r="J149" s="121">
        <f>SUM('Budget Req-PD'!E53)</f>
        <v>1800</v>
      </c>
      <c r="K149" s="121">
        <v>1800</v>
      </c>
    </row>
    <row r="150" spans="1:11" x14ac:dyDescent="0.25">
      <c r="A150" s="200">
        <v>530.03</v>
      </c>
      <c r="B150" s="200" t="s">
        <v>605</v>
      </c>
      <c r="C150" s="145"/>
      <c r="D150" s="145"/>
      <c r="E150" s="145"/>
      <c r="F150" s="145">
        <v>0</v>
      </c>
      <c r="G150" s="120">
        <v>100</v>
      </c>
      <c r="H150" s="120">
        <v>2727</v>
      </c>
      <c r="I150" s="120">
        <f>4132+1300</f>
        <v>5432</v>
      </c>
      <c r="J150" s="120">
        <v>5500</v>
      </c>
      <c r="K150" s="120">
        <v>5500</v>
      </c>
    </row>
    <row r="151" spans="1:11" x14ac:dyDescent="0.25">
      <c r="A151" s="200">
        <v>530.04</v>
      </c>
      <c r="B151" s="200" t="s">
        <v>169</v>
      </c>
      <c r="C151" s="145">
        <v>1000</v>
      </c>
      <c r="D151" s="145">
        <v>0</v>
      </c>
      <c r="E151" s="145">
        <v>0</v>
      </c>
      <c r="F151" s="145">
        <v>0</v>
      </c>
      <c r="G151" s="120">
        <v>0</v>
      </c>
      <c r="H151" s="139">
        <v>0</v>
      </c>
      <c r="I151" s="120">
        <v>0</v>
      </c>
      <c r="J151" s="120">
        <v>0</v>
      </c>
      <c r="K151" s="120">
        <v>0</v>
      </c>
    </row>
    <row r="152" spans="1:11" x14ac:dyDescent="0.25">
      <c r="A152" s="200">
        <v>530.04999999999995</v>
      </c>
      <c r="B152" s="200" t="s">
        <v>20</v>
      </c>
      <c r="C152" s="145">
        <v>4000</v>
      </c>
      <c r="D152" s="145">
        <v>2905</v>
      </c>
      <c r="E152" s="145">
        <v>4357</v>
      </c>
      <c r="F152" s="145">
        <v>600</v>
      </c>
      <c r="G152" s="121">
        <v>300</v>
      </c>
      <c r="H152" s="139">
        <v>137</v>
      </c>
      <c r="I152" s="121">
        <v>300</v>
      </c>
      <c r="J152" s="121">
        <f>'Budget Req-PD'!E54</f>
        <v>300</v>
      </c>
      <c r="K152" s="120">
        <v>300</v>
      </c>
    </row>
    <row r="153" spans="1:11" x14ac:dyDescent="0.25">
      <c r="A153" s="200">
        <v>530.05999999999995</v>
      </c>
      <c r="B153" s="200" t="s">
        <v>170</v>
      </c>
      <c r="C153" s="145">
        <v>500</v>
      </c>
      <c r="D153" s="145">
        <v>0</v>
      </c>
      <c r="E153" s="145">
        <v>0</v>
      </c>
      <c r="F153" s="145">
        <v>0</v>
      </c>
      <c r="G153" s="120">
        <v>600</v>
      </c>
      <c r="H153" s="120">
        <v>0</v>
      </c>
      <c r="I153" s="120">
        <v>500</v>
      </c>
      <c r="J153" s="120">
        <v>1000</v>
      </c>
      <c r="K153" s="120">
        <v>1000</v>
      </c>
    </row>
    <row r="154" spans="1:11" x14ac:dyDescent="0.25">
      <c r="A154" s="204">
        <v>530.11</v>
      </c>
      <c r="B154" s="204" t="s">
        <v>2</v>
      </c>
      <c r="C154" s="145">
        <v>1100</v>
      </c>
      <c r="D154" s="145">
        <v>0</v>
      </c>
      <c r="E154" s="145">
        <v>0</v>
      </c>
      <c r="F154" s="145">
        <v>6000</v>
      </c>
      <c r="G154" s="129">
        <v>6000</v>
      </c>
      <c r="H154" s="205">
        <v>3727</v>
      </c>
      <c r="I154" s="129">
        <f>4171+(609.5*3)</f>
        <v>5999.5</v>
      </c>
      <c r="J154" s="129">
        <f>'Budget Req-PD'!E55</f>
        <v>6000</v>
      </c>
      <c r="K154" s="129">
        <v>6000</v>
      </c>
    </row>
    <row r="155" spans="1:11" ht="18.75" thickBot="1" x14ac:dyDescent="0.3">
      <c r="A155" s="206" t="s">
        <v>167</v>
      </c>
      <c r="B155" s="207"/>
      <c r="C155" s="150"/>
      <c r="D155" s="150"/>
      <c r="E155" s="150"/>
      <c r="F155" s="150">
        <f t="shared" ref="F155:K155" si="15">SUM(F148:F154)</f>
        <v>18600</v>
      </c>
      <c r="G155" s="136">
        <f t="shared" si="15"/>
        <v>24800</v>
      </c>
      <c r="H155" s="136">
        <f t="shared" si="15"/>
        <v>22402</v>
      </c>
      <c r="I155" s="136">
        <f t="shared" si="15"/>
        <v>39558.5</v>
      </c>
      <c r="J155" s="136">
        <f t="shared" si="15"/>
        <v>36200</v>
      </c>
      <c r="K155" s="136">
        <f t="shared" si="15"/>
        <v>36200</v>
      </c>
    </row>
    <row r="156" spans="1:11" x14ac:dyDescent="0.25">
      <c r="A156" s="204">
        <v>540.01</v>
      </c>
      <c r="B156" s="204" t="s">
        <v>182</v>
      </c>
      <c r="C156" s="145"/>
      <c r="D156" s="145"/>
      <c r="E156" s="145"/>
      <c r="F156" s="145">
        <v>4000</v>
      </c>
      <c r="G156" s="205">
        <v>2000</v>
      </c>
      <c r="H156" s="205">
        <v>145</v>
      </c>
      <c r="I156" s="129">
        <v>2000</v>
      </c>
      <c r="J156" s="192">
        <f>SUM('Budget Req-PD'!E58)</f>
        <v>2000</v>
      </c>
      <c r="K156" s="129">
        <v>2000</v>
      </c>
    </row>
    <row r="157" spans="1:11" ht="18.75" thickBot="1" x14ac:dyDescent="0.3">
      <c r="A157" s="206" t="s">
        <v>174</v>
      </c>
      <c r="B157" s="207"/>
      <c r="C157" s="150"/>
      <c r="D157" s="150"/>
      <c r="E157" s="150"/>
      <c r="F157" s="150">
        <f t="shared" ref="F157:K157" si="16">SUM(F156)</f>
        <v>4000</v>
      </c>
      <c r="G157" s="136">
        <f t="shared" si="16"/>
        <v>2000</v>
      </c>
      <c r="H157" s="136">
        <f t="shared" si="16"/>
        <v>145</v>
      </c>
      <c r="I157" s="136">
        <f t="shared" si="16"/>
        <v>2000</v>
      </c>
      <c r="J157" s="136">
        <f t="shared" si="16"/>
        <v>2000</v>
      </c>
      <c r="K157" s="136">
        <f t="shared" si="16"/>
        <v>2000</v>
      </c>
    </row>
    <row r="158" spans="1:11" x14ac:dyDescent="0.25">
      <c r="A158" s="200">
        <v>550.01</v>
      </c>
      <c r="B158" s="200" t="s">
        <v>203</v>
      </c>
      <c r="C158" s="145"/>
      <c r="D158" s="145"/>
      <c r="E158" s="145"/>
      <c r="F158" s="145">
        <v>300</v>
      </c>
      <c r="G158" s="139">
        <v>0</v>
      </c>
      <c r="H158" s="120">
        <v>0</v>
      </c>
      <c r="I158" s="120">
        <v>0</v>
      </c>
      <c r="J158" s="120">
        <f>'Budget Req-PD'!E60</f>
        <v>500</v>
      </c>
      <c r="K158" s="120">
        <v>500</v>
      </c>
    </row>
    <row r="159" spans="1:11" x14ac:dyDescent="0.25">
      <c r="A159" s="200">
        <v>550.02</v>
      </c>
      <c r="B159" s="200" t="s">
        <v>204</v>
      </c>
      <c r="C159" s="145"/>
      <c r="D159" s="145"/>
      <c r="E159" s="145"/>
      <c r="F159" s="145">
        <v>2000</v>
      </c>
      <c r="G159" s="139">
        <v>1000</v>
      </c>
      <c r="H159" s="120">
        <v>166</v>
      </c>
      <c r="I159" s="120">
        <v>1000</v>
      </c>
      <c r="J159" s="187">
        <f>SUM('Budget Req-PD'!E61)</f>
        <v>2500</v>
      </c>
      <c r="K159" s="187">
        <v>2500</v>
      </c>
    </row>
    <row r="160" spans="1:11" x14ac:dyDescent="0.25">
      <c r="A160" s="200">
        <v>550.04</v>
      </c>
      <c r="B160" s="200" t="s">
        <v>205</v>
      </c>
      <c r="C160" s="145"/>
      <c r="D160" s="145"/>
      <c r="E160" s="145"/>
      <c r="F160" s="145">
        <v>9000</v>
      </c>
      <c r="G160" s="139">
        <v>11000</v>
      </c>
      <c r="H160" s="139">
        <v>5389</v>
      </c>
      <c r="I160" s="120">
        <v>11000</v>
      </c>
      <c r="J160" s="120">
        <f>'Budget Req-PD'!E66</f>
        <v>12000</v>
      </c>
      <c r="K160" s="120">
        <v>12000</v>
      </c>
    </row>
    <row r="161" spans="1:11" x14ac:dyDescent="0.25">
      <c r="A161" s="200">
        <v>550.04999999999995</v>
      </c>
      <c r="B161" s="200" t="s">
        <v>206</v>
      </c>
      <c r="C161" s="145"/>
      <c r="D161" s="145"/>
      <c r="E161" s="145"/>
      <c r="F161" s="145">
        <v>0</v>
      </c>
      <c r="G161" s="139">
        <v>0</v>
      </c>
      <c r="H161" s="139">
        <v>0</v>
      </c>
      <c r="I161" s="120">
        <v>0</v>
      </c>
      <c r="J161" s="120">
        <v>0</v>
      </c>
      <c r="K161" s="120">
        <v>0</v>
      </c>
    </row>
    <row r="162" spans="1:11" x14ac:dyDescent="0.25">
      <c r="A162" s="204">
        <v>550.05999999999995</v>
      </c>
      <c r="B162" s="204" t="s">
        <v>653</v>
      </c>
      <c r="C162" s="145"/>
      <c r="D162" s="145"/>
      <c r="E162" s="145"/>
      <c r="F162" s="145"/>
      <c r="G162" s="205">
        <v>500</v>
      </c>
      <c r="H162" s="205">
        <v>0</v>
      </c>
      <c r="I162" s="129">
        <v>500</v>
      </c>
      <c r="J162" s="129">
        <v>0</v>
      </c>
      <c r="K162" s="129">
        <v>0</v>
      </c>
    </row>
    <row r="163" spans="1:11" x14ac:dyDescent="0.25">
      <c r="A163" s="208" t="s">
        <v>202</v>
      </c>
      <c r="B163" s="209"/>
      <c r="C163" s="145"/>
      <c r="D163" s="145"/>
      <c r="E163" s="145"/>
      <c r="F163" s="145">
        <f>SUM(F158:F161)</f>
        <v>11300</v>
      </c>
      <c r="G163" s="210">
        <f>SUM(G158:G162)</f>
        <v>12500</v>
      </c>
      <c r="H163" s="210">
        <f>SUM(H158:H162)</f>
        <v>5555</v>
      </c>
      <c r="I163" s="210">
        <f>SUM(I158:I162)</f>
        <v>12500</v>
      </c>
      <c r="J163" s="210">
        <f>SUM(J158:J162)</f>
        <v>15000</v>
      </c>
      <c r="K163" s="210">
        <f>SUM(K158:K162)</f>
        <v>15000</v>
      </c>
    </row>
    <row r="164" spans="1:11" x14ac:dyDescent="0.25">
      <c r="A164" s="464">
        <v>560.02</v>
      </c>
      <c r="B164" s="464" t="s">
        <v>179</v>
      </c>
      <c r="C164" s="156"/>
      <c r="D164" s="156"/>
      <c r="E164" s="156"/>
      <c r="F164" s="156">
        <v>11450</v>
      </c>
      <c r="G164" s="306">
        <v>11220</v>
      </c>
      <c r="H164" s="306">
        <v>9577</v>
      </c>
      <c r="I164" s="112">
        <v>11220</v>
      </c>
      <c r="J164" s="112">
        <f>SUM('Budget Req-PD'!E73)</f>
        <v>11000</v>
      </c>
      <c r="K164" s="112">
        <v>11940</v>
      </c>
    </row>
    <row r="165" spans="1:11" x14ac:dyDescent="0.25">
      <c r="A165" s="201">
        <v>560.09</v>
      </c>
      <c r="B165" s="201" t="s">
        <v>496</v>
      </c>
      <c r="C165" s="156"/>
      <c r="D165" s="156"/>
      <c r="E165" s="156"/>
      <c r="F165" s="156">
        <v>0</v>
      </c>
      <c r="G165" s="202">
        <v>300</v>
      </c>
      <c r="H165" s="202">
        <v>697</v>
      </c>
      <c r="I165" s="121">
        <v>700</v>
      </c>
      <c r="J165" s="121">
        <v>0</v>
      </c>
      <c r="K165" s="121">
        <v>0</v>
      </c>
    </row>
    <row r="166" spans="1:11" x14ac:dyDescent="0.25">
      <c r="A166" s="201"/>
      <c r="B166" s="201" t="s">
        <v>1089</v>
      </c>
      <c r="C166" s="156"/>
      <c r="D166" s="156"/>
      <c r="E166" s="156"/>
      <c r="F166" s="156"/>
      <c r="G166" s="202"/>
      <c r="H166" s="202"/>
      <c r="I166" s="121"/>
      <c r="J166" s="121"/>
      <c r="K166" s="121">
        <v>3000</v>
      </c>
    </row>
    <row r="167" spans="1:11" x14ac:dyDescent="0.25">
      <c r="A167" s="201">
        <v>560.1</v>
      </c>
      <c r="B167" s="201" t="s">
        <v>180</v>
      </c>
      <c r="C167" s="156"/>
      <c r="D167" s="156"/>
      <c r="E167" s="156"/>
      <c r="F167" s="156">
        <v>2500</v>
      </c>
      <c r="G167" s="202">
        <v>2825</v>
      </c>
      <c r="H167" s="202">
        <v>2069</v>
      </c>
      <c r="I167" s="121">
        <v>2800</v>
      </c>
      <c r="J167" s="121">
        <f>SUM('Budget Req-PD'!E78)</f>
        <v>5000</v>
      </c>
      <c r="K167" s="121">
        <v>5250</v>
      </c>
    </row>
    <row r="168" spans="1:11" x14ac:dyDescent="0.25">
      <c r="A168" s="465">
        <v>560.12</v>
      </c>
      <c r="B168" s="465" t="s">
        <v>207</v>
      </c>
      <c r="C168" s="156"/>
      <c r="D168" s="156"/>
      <c r="E168" s="156"/>
      <c r="F168" s="156">
        <v>1100</v>
      </c>
      <c r="G168" s="286">
        <v>1100</v>
      </c>
      <c r="H168" s="286">
        <v>0</v>
      </c>
      <c r="I168" s="147">
        <v>1000</v>
      </c>
      <c r="J168" s="147">
        <f>SUM('Budget Req-PD'!E80)</f>
        <v>0</v>
      </c>
      <c r="K168" s="147">
        <v>0</v>
      </c>
    </row>
    <row r="169" spans="1:11" x14ac:dyDescent="0.25">
      <c r="A169" s="466" t="s">
        <v>178</v>
      </c>
      <c r="B169" s="467"/>
      <c r="C169" s="156"/>
      <c r="D169" s="156"/>
      <c r="E169" s="156"/>
      <c r="F169" s="156">
        <f t="shared" ref="F169:K169" si="17">SUM(F164:F168)</f>
        <v>15050</v>
      </c>
      <c r="G169" s="336">
        <f t="shared" si="17"/>
        <v>15445</v>
      </c>
      <c r="H169" s="336">
        <f t="shared" si="17"/>
        <v>12343</v>
      </c>
      <c r="I169" s="336">
        <f t="shared" si="17"/>
        <v>15720</v>
      </c>
      <c r="J169" s="336">
        <f t="shared" si="17"/>
        <v>16000</v>
      </c>
      <c r="K169" s="336">
        <f t="shared" si="17"/>
        <v>20190</v>
      </c>
    </row>
    <row r="170" spans="1:11" x14ac:dyDescent="0.25">
      <c r="A170" s="162"/>
      <c r="B170" s="98"/>
      <c r="C170" s="144"/>
      <c r="D170" s="145"/>
      <c r="E170" s="144"/>
      <c r="F170" s="145"/>
      <c r="G170" s="211"/>
      <c r="H170" s="211"/>
      <c r="I170" s="163"/>
      <c r="J170" s="163"/>
      <c r="K170" s="163"/>
    </row>
    <row r="171" spans="1:11" x14ac:dyDescent="0.25">
      <c r="A171" s="519"/>
      <c r="B171" s="536"/>
      <c r="C171" s="536"/>
      <c r="D171" s="536"/>
      <c r="E171" s="536"/>
      <c r="F171" s="518"/>
      <c r="G171" s="195"/>
      <c r="H171" s="173"/>
      <c r="I171" s="172" t="s">
        <v>1078</v>
      </c>
      <c r="J171" s="172" t="s">
        <v>1093</v>
      </c>
      <c r="K171" s="172" t="s">
        <v>1075</v>
      </c>
    </row>
    <row r="172" spans="1:11" x14ac:dyDescent="0.25">
      <c r="A172" s="103" t="s">
        <v>192</v>
      </c>
      <c r="B172" s="104"/>
      <c r="C172" s="104" t="s">
        <v>27</v>
      </c>
      <c r="D172" s="104" t="s">
        <v>30</v>
      </c>
      <c r="E172" s="104" t="s">
        <v>29</v>
      </c>
      <c r="F172" s="174" t="s">
        <v>405</v>
      </c>
      <c r="G172" s="175" t="s">
        <v>846</v>
      </c>
      <c r="H172" s="175" t="s">
        <v>1079</v>
      </c>
      <c r="I172" s="196">
        <v>43008</v>
      </c>
      <c r="J172" s="175" t="s">
        <v>857</v>
      </c>
      <c r="K172" s="175" t="s">
        <v>1076</v>
      </c>
    </row>
    <row r="173" spans="1:11" x14ac:dyDescent="0.25">
      <c r="A173" s="183">
        <v>590.01</v>
      </c>
      <c r="B173" s="108" t="s">
        <v>203</v>
      </c>
      <c r="C173" s="144"/>
      <c r="D173" s="145"/>
      <c r="E173" s="144"/>
      <c r="F173" s="145"/>
      <c r="G173" s="199">
        <v>500</v>
      </c>
      <c r="H173" s="199">
        <v>0</v>
      </c>
      <c r="I173" s="212">
        <v>500</v>
      </c>
      <c r="J173" s="113">
        <f>SUM('Budget Req-PD'!E82)</f>
        <v>500</v>
      </c>
      <c r="K173" s="113">
        <v>500</v>
      </c>
    </row>
    <row r="174" spans="1:11" x14ac:dyDescent="0.25">
      <c r="A174" s="138">
        <v>590.02</v>
      </c>
      <c r="B174" s="116" t="s">
        <v>336</v>
      </c>
      <c r="C174" s="144"/>
      <c r="D174" s="145"/>
      <c r="E174" s="144"/>
      <c r="F174" s="145">
        <v>25500</v>
      </c>
      <c r="G174" s="139">
        <v>13150</v>
      </c>
      <c r="H174" s="139">
        <v>10211</v>
      </c>
      <c r="I174" s="213">
        <v>13150</v>
      </c>
      <c r="J174" s="120">
        <f>SUM('Budget Req-PD'!E87)</f>
        <v>30000</v>
      </c>
      <c r="K174" s="120">
        <v>30000</v>
      </c>
    </row>
    <row r="175" spans="1:11" x14ac:dyDescent="0.25">
      <c r="A175" s="138">
        <v>590.04</v>
      </c>
      <c r="B175" s="116" t="s">
        <v>205</v>
      </c>
      <c r="C175" s="144"/>
      <c r="D175" s="145"/>
      <c r="E175" s="144"/>
      <c r="F175" s="145">
        <v>21338</v>
      </c>
      <c r="G175" s="139">
        <v>45757</v>
      </c>
      <c r="H175" s="139">
        <v>47160</v>
      </c>
      <c r="I175" s="213">
        <v>47160</v>
      </c>
      <c r="J175" s="120">
        <f>SUM('Budget Req-PD'!E92)</f>
        <v>47650</v>
      </c>
      <c r="K175" s="120">
        <v>47650</v>
      </c>
    </row>
    <row r="176" spans="1:11" x14ac:dyDescent="0.25">
      <c r="A176" s="141">
        <v>590.1</v>
      </c>
      <c r="B176" s="125" t="s">
        <v>216</v>
      </c>
      <c r="C176" s="144"/>
      <c r="D176" s="145"/>
      <c r="E176" s="144"/>
      <c r="F176" s="145"/>
      <c r="G176" s="205">
        <v>0</v>
      </c>
      <c r="H176" s="205">
        <v>0</v>
      </c>
      <c r="I176" s="214">
        <v>0</v>
      </c>
      <c r="J176" s="120">
        <v>0</v>
      </c>
      <c r="K176" s="120">
        <v>0</v>
      </c>
    </row>
    <row r="177" spans="1:30" ht="18.75" thickBot="1" x14ac:dyDescent="0.3">
      <c r="A177" s="468" t="s">
        <v>274</v>
      </c>
      <c r="B177" s="288"/>
      <c r="C177" s="277"/>
      <c r="D177" s="278"/>
      <c r="E177" s="277"/>
      <c r="F177" s="278">
        <f>SUM(F174:F175)</f>
        <v>46838</v>
      </c>
      <c r="G177" s="182">
        <f>SUM(G173:G176)</f>
        <v>59407</v>
      </c>
      <c r="H177" s="182">
        <f>SUM(H173:H176)</f>
        <v>57371</v>
      </c>
      <c r="I177" s="182">
        <f>SUM(I173:I176)</f>
        <v>60810</v>
      </c>
      <c r="J177" s="182">
        <f>SUM(J173:J176)</f>
        <v>78150</v>
      </c>
      <c r="K177" s="182">
        <f>SUM(K173:K176)</f>
        <v>78150</v>
      </c>
    </row>
    <row r="178" spans="1:30" ht="18.75" thickBot="1" x14ac:dyDescent="0.3">
      <c r="A178" s="524" t="s">
        <v>218</v>
      </c>
      <c r="B178" s="525"/>
      <c r="C178" s="445">
        <f>SUM(C129:C177)</f>
        <v>465440</v>
      </c>
      <c r="D178" s="469">
        <f>SUM(D129:D177)</f>
        <v>248146</v>
      </c>
      <c r="E178" s="469">
        <f>SUM(E129:E177)</f>
        <v>372180</v>
      </c>
      <c r="F178" s="469">
        <f t="shared" ref="F178:K178" si="18">SUM(F138+F147+F155+F157+F163+F169+F177)</f>
        <v>700906.04</v>
      </c>
      <c r="G178" s="470">
        <f t="shared" si="18"/>
        <v>991819</v>
      </c>
      <c r="H178" s="470">
        <f t="shared" si="18"/>
        <v>654918</v>
      </c>
      <c r="I178" s="470">
        <f t="shared" si="18"/>
        <v>983555.08197142859</v>
      </c>
      <c r="J178" s="470">
        <f t="shared" si="18"/>
        <v>1126029.3496398001</v>
      </c>
      <c r="K178" s="470">
        <f t="shared" si="18"/>
        <v>1146956.6735999999</v>
      </c>
    </row>
    <row r="179" spans="1:30" x14ac:dyDescent="0.25">
      <c r="A179" s="98"/>
      <c r="B179" s="98"/>
      <c r="C179" s="98"/>
      <c r="D179" s="98"/>
      <c r="E179" s="98"/>
      <c r="F179" s="98"/>
      <c r="G179" s="163"/>
      <c r="H179" s="163"/>
      <c r="I179" s="163"/>
      <c r="J179" s="163"/>
      <c r="K179" s="163"/>
    </row>
    <row r="180" spans="1:30" x14ac:dyDescent="0.25">
      <c r="A180" s="519"/>
      <c r="B180" s="536"/>
      <c r="C180" s="536"/>
      <c r="D180" s="536"/>
      <c r="E180" s="536"/>
      <c r="F180" s="518"/>
      <c r="G180" s="195"/>
      <c r="H180" s="173"/>
      <c r="I180" s="172"/>
      <c r="J180" s="172" t="s">
        <v>1093</v>
      </c>
      <c r="K180" s="172" t="s">
        <v>1077</v>
      </c>
    </row>
    <row r="181" spans="1:30" x14ac:dyDescent="0.25">
      <c r="A181" s="103" t="s">
        <v>208</v>
      </c>
      <c r="B181" s="104"/>
      <c r="C181" s="215" t="s">
        <v>31</v>
      </c>
      <c r="D181" s="104" t="s">
        <v>30</v>
      </c>
      <c r="E181" s="104" t="s">
        <v>29</v>
      </c>
      <c r="F181" s="174" t="s">
        <v>405</v>
      </c>
      <c r="G181" s="175" t="s">
        <v>846</v>
      </c>
      <c r="H181" s="175" t="s">
        <v>855</v>
      </c>
      <c r="I181" s="196" t="s">
        <v>1090</v>
      </c>
      <c r="J181" s="175" t="s">
        <v>857</v>
      </c>
      <c r="K181" s="175" t="s">
        <v>1076</v>
      </c>
    </row>
    <row r="182" spans="1:30" s="146" customFormat="1" ht="18" customHeight="1" x14ac:dyDescent="0.25">
      <c r="A182" s="197" t="s">
        <v>209</v>
      </c>
      <c r="B182" s="198" t="s">
        <v>5</v>
      </c>
      <c r="C182" s="145">
        <v>22000</v>
      </c>
      <c r="D182" s="145">
        <v>13581</v>
      </c>
      <c r="E182" s="145">
        <v>20375</v>
      </c>
      <c r="F182" s="156">
        <v>24996</v>
      </c>
      <c r="G182" s="199">
        <v>36460</v>
      </c>
      <c r="H182" s="199">
        <v>25222</v>
      </c>
      <c r="I182" s="112">
        <f>+H182+(2800*4)</f>
        <v>36422</v>
      </c>
      <c r="J182" s="112">
        <f>SUM('Personnel Sched-Animal Cont'!K15)*1.02-2600</f>
        <v>36887.056000000004</v>
      </c>
      <c r="K182" s="113">
        <v>36887</v>
      </c>
      <c r="L182" s="96"/>
    </row>
    <row r="183" spans="1:30" s="146" customFormat="1" ht="18" customHeight="1" x14ac:dyDescent="0.25">
      <c r="A183" s="216">
        <v>510.02</v>
      </c>
      <c r="B183" s="200" t="s">
        <v>747</v>
      </c>
      <c r="C183" s="145"/>
      <c r="D183" s="145"/>
      <c r="E183" s="145"/>
      <c r="F183" s="156"/>
      <c r="G183" s="139">
        <v>2600</v>
      </c>
      <c r="H183" s="139">
        <v>0</v>
      </c>
      <c r="I183" s="121">
        <v>0</v>
      </c>
      <c r="J183" s="121">
        <v>2600</v>
      </c>
      <c r="K183" s="120">
        <v>2600</v>
      </c>
      <c r="L183" s="96"/>
      <c r="U183" s="217"/>
      <c r="V183" s="217"/>
      <c r="W183" s="189"/>
      <c r="X183" s="218"/>
      <c r="Y183" s="218"/>
      <c r="Z183" s="218"/>
      <c r="AA183" s="194"/>
      <c r="AB183" s="218"/>
      <c r="AC183" s="218"/>
      <c r="AD183" s="98"/>
    </row>
    <row r="184" spans="1:30" s="146" customFormat="1" ht="18" customHeight="1" x14ac:dyDescent="0.25">
      <c r="A184" s="201">
        <v>510.03</v>
      </c>
      <c r="B184" s="201" t="s">
        <v>155</v>
      </c>
      <c r="C184" s="156">
        <v>1475</v>
      </c>
      <c r="D184" s="156">
        <v>975.62</v>
      </c>
      <c r="E184" s="156">
        <v>1463</v>
      </c>
      <c r="F184" s="156">
        <v>200</v>
      </c>
      <c r="G184" s="202">
        <v>10000</v>
      </c>
      <c r="H184" s="202">
        <v>5985</v>
      </c>
      <c r="I184" s="121">
        <v>10000</v>
      </c>
      <c r="J184" s="121">
        <f>SUM('Budget Req-Animal Cont.'!E11)</f>
        <v>15000</v>
      </c>
      <c r="K184" s="121">
        <v>15000</v>
      </c>
      <c r="L184" s="96"/>
      <c r="U184" s="98"/>
      <c r="V184" s="98"/>
      <c r="W184" s="98"/>
      <c r="X184" s="98"/>
      <c r="Y184" s="98"/>
      <c r="Z184" s="98"/>
      <c r="AA184" s="145"/>
      <c r="AB184" s="98"/>
      <c r="AC184" s="98"/>
      <c r="AD184" s="98"/>
    </row>
    <row r="185" spans="1:30" s="188" customFormat="1" ht="18" customHeight="1" x14ac:dyDescent="0.25">
      <c r="A185" s="201">
        <v>510.05</v>
      </c>
      <c r="B185" s="201" t="s">
        <v>194</v>
      </c>
      <c r="C185" s="156">
        <v>1200</v>
      </c>
      <c r="D185" s="156">
        <v>705</v>
      </c>
      <c r="E185" s="156">
        <v>1100</v>
      </c>
      <c r="F185" s="156">
        <v>6499</v>
      </c>
      <c r="G185" s="202">
        <v>7647</v>
      </c>
      <c r="H185" s="202">
        <v>4315</v>
      </c>
      <c r="I185" s="121">
        <f>+H185+3300</f>
        <v>7615</v>
      </c>
      <c r="J185" s="121">
        <f>SUM('Budget Req-Animal Cont.'!E18)</f>
        <v>8475.49</v>
      </c>
      <c r="K185" s="121">
        <v>8497</v>
      </c>
      <c r="L185" s="96"/>
      <c r="M185" s="190"/>
      <c r="N185" s="190"/>
      <c r="O185" s="190"/>
      <c r="P185" s="190"/>
      <c r="Q185" s="190"/>
      <c r="R185" s="190"/>
      <c r="S185" s="190"/>
      <c r="T185" s="190"/>
      <c r="U185" s="534"/>
      <c r="V185" s="535"/>
      <c r="W185" s="535"/>
      <c r="X185" s="535"/>
      <c r="Y185" s="535"/>
      <c r="Z185" s="535"/>
      <c r="AA185" s="219"/>
      <c r="AB185" s="220"/>
      <c r="AC185" s="221"/>
      <c r="AD185" s="98"/>
    </row>
    <row r="186" spans="1:30" ht="18" customHeight="1" x14ac:dyDescent="0.25">
      <c r="A186" s="201">
        <v>510.06</v>
      </c>
      <c r="B186" s="201" t="s">
        <v>19</v>
      </c>
      <c r="C186" s="156">
        <v>4000</v>
      </c>
      <c r="D186" s="156">
        <v>2740</v>
      </c>
      <c r="E186" s="156">
        <v>4100</v>
      </c>
      <c r="F186" s="156">
        <v>1912.19</v>
      </c>
      <c r="G186" s="202">
        <v>2988</v>
      </c>
      <c r="H186" s="202">
        <v>1845</v>
      </c>
      <c r="I186" s="121">
        <f>+I182*0.077</f>
        <v>2804.4940000000001</v>
      </c>
      <c r="J186" s="121">
        <f>SUM('Budget Req-Animal Cont.'!E20)</f>
        <v>2898.8399999999997</v>
      </c>
      <c r="K186" s="121">
        <f>SUM(K182+K183)*0.0765</f>
        <v>3020.7554999999998</v>
      </c>
      <c r="U186" s="222"/>
      <c r="V186" s="222"/>
      <c r="W186" s="222"/>
      <c r="X186" s="222"/>
      <c r="Y186" s="222"/>
      <c r="Z186" s="222"/>
      <c r="AA186" s="223"/>
      <c r="AB186" s="222"/>
      <c r="AC186" s="224"/>
      <c r="AD186" s="98"/>
    </row>
    <row r="187" spans="1:30" ht="18" customHeight="1" x14ac:dyDescent="0.25">
      <c r="A187" s="201">
        <v>510.07</v>
      </c>
      <c r="B187" s="201" t="s">
        <v>158</v>
      </c>
      <c r="C187" s="156">
        <v>1000</v>
      </c>
      <c r="D187" s="156">
        <v>655</v>
      </c>
      <c r="E187" s="156">
        <v>982</v>
      </c>
      <c r="F187" s="156">
        <v>1062.33</v>
      </c>
      <c r="G187" s="202">
        <v>1988</v>
      </c>
      <c r="H187" s="202">
        <v>998</v>
      </c>
      <c r="I187" s="121">
        <f>+I182*0.0502</f>
        <v>1828.3844000000001</v>
      </c>
      <c r="J187" s="121">
        <f>SUM('Budget Req-Animal Cont.'!E22)</f>
        <v>1584.4149999999997</v>
      </c>
      <c r="K187" s="121">
        <f>SUM(K182*0.0509)</f>
        <v>1877.5482999999999</v>
      </c>
      <c r="U187" s="225"/>
      <c r="V187" s="98"/>
      <c r="W187" s="144"/>
      <c r="X187" s="145"/>
      <c r="Y187" s="144"/>
      <c r="Z187" s="145"/>
      <c r="AA187" s="226"/>
      <c r="AB187" s="226"/>
      <c r="AC187" s="145"/>
      <c r="AD187" s="98"/>
    </row>
    <row r="188" spans="1:30" ht="18" customHeight="1" x14ac:dyDescent="0.25">
      <c r="A188" s="201">
        <v>510.08</v>
      </c>
      <c r="B188" s="201" t="s">
        <v>326</v>
      </c>
      <c r="C188" s="156"/>
      <c r="D188" s="156"/>
      <c r="E188" s="156"/>
      <c r="F188" s="156">
        <v>587</v>
      </c>
      <c r="G188" s="202">
        <v>1030</v>
      </c>
      <c r="H188" s="202">
        <v>836</v>
      </c>
      <c r="I188" s="121">
        <v>1500</v>
      </c>
      <c r="J188" s="121">
        <f>SUM('Budget Req-Animal Cont.'!E24)</f>
        <v>1030.2249999999999</v>
      </c>
      <c r="K188" s="121">
        <f>SUM(K182+K183)/100*2.72</f>
        <v>1074.0464000000002</v>
      </c>
      <c r="U188" s="227"/>
      <c r="V188" s="98"/>
      <c r="W188" s="144"/>
      <c r="X188" s="145"/>
      <c r="Y188" s="144"/>
      <c r="Z188" s="145"/>
      <c r="AA188" s="226"/>
      <c r="AB188" s="226"/>
      <c r="AC188" s="145"/>
      <c r="AD188" s="98"/>
    </row>
    <row r="189" spans="1:30" ht="18" customHeight="1" x14ac:dyDescent="0.25">
      <c r="A189" s="201">
        <v>510.09</v>
      </c>
      <c r="B189" s="201" t="s">
        <v>690</v>
      </c>
      <c r="C189" s="156"/>
      <c r="D189" s="156"/>
      <c r="E189" s="156"/>
      <c r="F189" s="156"/>
      <c r="G189" s="202">
        <v>352</v>
      </c>
      <c r="H189" s="202">
        <v>0</v>
      </c>
      <c r="I189" s="121">
        <v>352</v>
      </c>
      <c r="J189" s="121">
        <f>SUM('Budget Req-Animal Cont.'!E26)+(+J182*0.01)</f>
        <v>720.87056000000007</v>
      </c>
      <c r="K189" s="121">
        <v>352</v>
      </c>
      <c r="U189" s="98"/>
      <c r="V189" s="98"/>
      <c r="W189" s="144"/>
      <c r="X189" s="145"/>
      <c r="Y189" s="144"/>
      <c r="Z189" s="145"/>
      <c r="AA189" s="226"/>
      <c r="AB189" s="226"/>
      <c r="AC189" s="145"/>
      <c r="AD189" s="98"/>
    </row>
    <row r="190" spans="1:30" ht="18" customHeight="1" x14ac:dyDescent="0.25">
      <c r="A190" s="201">
        <v>510.11</v>
      </c>
      <c r="B190" s="201" t="s">
        <v>195</v>
      </c>
      <c r="C190" s="156">
        <v>1500</v>
      </c>
      <c r="D190" s="156">
        <v>962</v>
      </c>
      <c r="E190" s="156">
        <v>1443</v>
      </c>
      <c r="F190" s="156">
        <v>0</v>
      </c>
      <c r="G190" s="202">
        <v>0</v>
      </c>
      <c r="H190" s="202">
        <v>100</v>
      </c>
      <c r="I190" s="121">
        <v>100</v>
      </c>
      <c r="J190" s="121">
        <v>0</v>
      </c>
      <c r="K190" s="121">
        <v>0</v>
      </c>
      <c r="U190" s="98"/>
      <c r="V190" s="98"/>
      <c r="W190" s="144"/>
      <c r="X190" s="145"/>
      <c r="Y190" s="144"/>
      <c r="Z190" s="145"/>
      <c r="AA190" s="226"/>
      <c r="AB190" s="226"/>
      <c r="AC190" s="145"/>
      <c r="AD190" s="98"/>
    </row>
    <row r="191" spans="1:30" ht="18" customHeight="1" x14ac:dyDescent="0.25">
      <c r="A191" s="465">
        <v>510.12</v>
      </c>
      <c r="B191" s="465" t="s">
        <v>536</v>
      </c>
      <c r="C191" s="156"/>
      <c r="D191" s="156"/>
      <c r="E191" s="156"/>
      <c r="F191" s="156">
        <v>0</v>
      </c>
      <c r="G191" s="286">
        <v>300</v>
      </c>
      <c r="H191" s="286">
        <v>0</v>
      </c>
      <c r="I191" s="147">
        <v>300</v>
      </c>
      <c r="J191" s="147">
        <f>SUM('Budget Req-Animal Cont.'!E28)</f>
        <v>300</v>
      </c>
      <c r="K191" s="147">
        <v>600</v>
      </c>
      <c r="U191" s="98"/>
      <c r="V191" s="98"/>
      <c r="W191" s="144"/>
      <c r="X191" s="145"/>
      <c r="Y191" s="144"/>
      <c r="Z191" s="145"/>
      <c r="AA191" s="226"/>
      <c r="AB191" s="226"/>
      <c r="AC191" s="145"/>
      <c r="AD191" s="98"/>
    </row>
    <row r="192" spans="1:30" ht="18" customHeight="1" thickBot="1" x14ac:dyDescent="0.3">
      <c r="A192" s="289" t="s">
        <v>210</v>
      </c>
      <c r="B192" s="290"/>
      <c r="C192" s="278"/>
      <c r="D192" s="278"/>
      <c r="E192" s="278"/>
      <c r="F192" s="278">
        <f t="shared" ref="F192:K192" si="19">SUM(F182:F191)</f>
        <v>35256.520000000004</v>
      </c>
      <c r="G192" s="182">
        <f t="shared" si="19"/>
        <v>63365</v>
      </c>
      <c r="H192" s="182">
        <f t="shared" si="19"/>
        <v>39301</v>
      </c>
      <c r="I192" s="182">
        <f t="shared" si="19"/>
        <v>60921.878400000001</v>
      </c>
      <c r="J192" s="182">
        <f t="shared" si="19"/>
        <v>69496.896559999994</v>
      </c>
      <c r="K192" s="182">
        <f t="shared" si="19"/>
        <v>69908.350200000001</v>
      </c>
      <c r="U192" s="98"/>
      <c r="V192" s="98"/>
      <c r="W192" s="144"/>
      <c r="X192" s="145"/>
      <c r="Y192" s="144"/>
      <c r="Z192" s="145"/>
      <c r="AA192" s="226"/>
      <c r="AB192" s="226"/>
      <c r="AC192" s="145"/>
      <c r="AD192" s="98"/>
    </row>
    <row r="193" spans="1:40" ht="18" customHeight="1" x14ac:dyDescent="0.25">
      <c r="A193" s="201">
        <v>520.01</v>
      </c>
      <c r="B193" s="201" t="s">
        <v>161</v>
      </c>
      <c r="C193" s="156">
        <v>1500</v>
      </c>
      <c r="D193" s="156">
        <v>933</v>
      </c>
      <c r="E193" s="156">
        <v>1400</v>
      </c>
      <c r="F193" s="156">
        <v>400</v>
      </c>
      <c r="G193" s="202">
        <v>250</v>
      </c>
      <c r="H193" s="202">
        <v>0</v>
      </c>
      <c r="I193" s="121">
        <v>250</v>
      </c>
      <c r="J193" s="121">
        <v>250</v>
      </c>
      <c r="K193" s="121">
        <v>250</v>
      </c>
      <c r="L193" s="146"/>
      <c r="M193" s="98"/>
      <c r="N193" s="98"/>
      <c r="O193" s="98"/>
      <c r="P193" s="98"/>
      <c r="Q193" s="98"/>
      <c r="R193" s="98"/>
      <c r="S193" s="98"/>
      <c r="AE193" s="98"/>
      <c r="AF193" s="98"/>
      <c r="AG193" s="144"/>
      <c r="AH193" s="145"/>
      <c r="AI193" s="144"/>
      <c r="AJ193" s="156"/>
      <c r="AK193" s="226"/>
      <c r="AL193" s="226"/>
      <c r="AM193" s="156"/>
      <c r="AN193" s="98"/>
    </row>
    <row r="194" spans="1:40" ht="18" customHeight="1" x14ac:dyDescent="0.25">
      <c r="A194" s="201">
        <v>519.02</v>
      </c>
      <c r="B194" s="201" t="s">
        <v>196</v>
      </c>
      <c r="C194" s="156">
        <v>1000</v>
      </c>
      <c r="D194" s="156">
        <v>969</v>
      </c>
      <c r="E194" s="156">
        <v>1000</v>
      </c>
      <c r="F194" s="156">
        <v>850</v>
      </c>
      <c r="G194" s="202">
        <v>250</v>
      </c>
      <c r="H194" s="202">
        <v>90</v>
      </c>
      <c r="I194" s="121">
        <v>250</v>
      </c>
      <c r="J194" s="121">
        <v>250</v>
      </c>
      <c r="K194" s="121">
        <v>250</v>
      </c>
      <c r="L194" s="146"/>
      <c r="M194" s="98"/>
      <c r="N194" s="98"/>
      <c r="O194" s="98"/>
      <c r="P194" s="98"/>
      <c r="Q194" s="98"/>
      <c r="R194" s="98"/>
      <c r="S194" s="98"/>
      <c r="AE194" s="98"/>
      <c r="AF194" s="98"/>
      <c r="AG194" s="144"/>
      <c r="AH194" s="145"/>
      <c r="AI194" s="144"/>
      <c r="AJ194" s="156"/>
      <c r="AK194" s="226"/>
      <c r="AL194" s="226"/>
      <c r="AM194" s="156"/>
      <c r="AN194" s="228"/>
    </row>
    <row r="195" spans="1:40" ht="18" customHeight="1" x14ac:dyDescent="0.25">
      <c r="A195" s="201">
        <v>520.03</v>
      </c>
      <c r="B195" s="201" t="s">
        <v>894</v>
      </c>
      <c r="C195" s="156"/>
      <c r="D195" s="156"/>
      <c r="E195" s="156"/>
      <c r="F195" s="156"/>
      <c r="G195" s="202">
        <v>0</v>
      </c>
      <c r="H195" s="202">
        <v>22</v>
      </c>
      <c r="I195" s="121">
        <v>100</v>
      </c>
      <c r="J195" s="121">
        <v>100</v>
      </c>
      <c r="K195" s="121">
        <v>100</v>
      </c>
      <c r="L195" s="146"/>
      <c r="M195" s="98"/>
      <c r="N195" s="98"/>
      <c r="O195" s="98"/>
      <c r="P195" s="98"/>
      <c r="Q195" s="98"/>
      <c r="R195" s="98"/>
      <c r="S195" s="98"/>
      <c r="AE195" s="98"/>
      <c r="AF195" s="98"/>
      <c r="AG195" s="144"/>
      <c r="AH195" s="145"/>
      <c r="AI195" s="144"/>
      <c r="AJ195" s="145"/>
      <c r="AK195" s="226"/>
      <c r="AL195" s="226"/>
      <c r="AM195" s="145"/>
      <c r="AN195" s="228"/>
    </row>
    <row r="196" spans="1:40" ht="18" customHeight="1" x14ac:dyDescent="0.25">
      <c r="A196" s="201">
        <v>520.04</v>
      </c>
      <c r="B196" s="201" t="s">
        <v>197</v>
      </c>
      <c r="C196" s="156">
        <v>1000</v>
      </c>
      <c r="D196" s="156">
        <v>969</v>
      </c>
      <c r="E196" s="156">
        <v>1000</v>
      </c>
      <c r="F196" s="156">
        <v>850</v>
      </c>
      <c r="G196" s="202">
        <v>1500</v>
      </c>
      <c r="H196" s="202">
        <v>863</v>
      </c>
      <c r="I196" s="121">
        <v>1500</v>
      </c>
      <c r="J196" s="121">
        <f>SUM('Budget Req-Animal Cont.'!E33)</f>
        <v>1500</v>
      </c>
      <c r="K196" s="121">
        <v>1500</v>
      </c>
      <c r="L196" s="146"/>
      <c r="M196" s="98"/>
      <c r="N196" s="98"/>
      <c r="O196" s="98"/>
      <c r="P196" s="98"/>
      <c r="Q196" s="98"/>
      <c r="R196" s="98"/>
      <c r="S196" s="98"/>
      <c r="AE196" s="98"/>
      <c r="AF196" s="98"/>
      <c r="AG196" s="144"/>
      <c r="AH196" s="145"/>
      <c r="AI196" s="144"/>
      <c r="AJ196" s="145"/>
      <c r="AK196" s="226"/>
      <c r="AL196" s="226"/>
      <c r="AM196" s="145"/>
      <c r="AN196" s="228"/>
    </row>
    <row r="197" spans="1:40" ht="18" customHeight="1" x14ac:dyDescent="0.25">
      <c r="A197" s="200">
        <v>520.05999999999995</v>
      </c>
      <c r="B197" s="200" t="s">
        <v>198</v>
      </c>
      <c r="C197" s="145">
        <v>550</v>
      </c>
      <c r="D197" s="145">
        <v>1749</v>
      </c>
      <c r="E197" s="145">
        <v>1750</v>
      </c>
      <c r="F197" s="145">
        <v>3500</v>
      </c>
      <c r="G197" s="139">
        <v>1000</v>
      </c>
      <c r="H197" s="139">
        <v>669</v>
      </c>
      <c r="I197" s="120">
        <v>1000</v>
      </c>
      <c r="J197" s="120">
        <v>1000</v>
      </c>
      <c r="K197" s="121">
        <v>1000</v>
      </c>
      <c r="L197" s="190"/>
      <c r="M197" s="98"/>
      <c r="N197" s="98"/>
      <c r="O197" s="98"/>
      <c r="P197" s="98"/>
      <c r="Q197" s="98"/>
      <c r="R197" s="98"/>
      <c r="S197" s="98"/>
      <c r="AE197" s="98"/>
      <c r="AF197" s="98"/>
      <c r="AG197" s="144"/>
      <c r="AH197" s="145"/>
      <c r="AI197" s="144"/>
      <c r="AJ197" s="145"/>
      <c r="AK197" s="226"/>
      <c r="AL197" s="226"/>
      <c r="AM197" s="145"/>
      <c r="AN197" s="98"/>
    </row>
    <row r="198" spans="1:40" ht="18" customHeight="1" x14ac:dyDescent="0.25">
      <c r="A198" s="200">
        <v>520.07000000000005</v>
      </c>
      <c r="B198" s="200" t="s">
        <v>211</v>
      </c>
      <c r="C198" s="145">
        <v>4000</v>
      </c>
      <c r="D198" s="145">
        <v>2067</v>
      </c>
      <c r="E198" s="145">
        <v>3100</v>
      </c>
      <c r="F198" s="145">
        <v>350</v>
      </c>
      <c r="G198" s="139">
        <v>300</v>
      </c>
      <c r="H198" s="139">
        <v>468</v>
      </c>
      <c r="I198" s="120">
        <v>500</v>
      </c>
      <c r="J198" s="120">
        <v>300</v>
      </c>
      <c r="K198" s="121">
        <v>300</v>
      </c>
      <c r="M198" s="98"/>
      <c r="N198" s="98"/>
      <c r="O198" s="98"/>
      <c r="P198" s="98"/>
      <c r="Q198" s="98"/>
      <c r="R198" s="98"/>
      <c r="S198" s="98"/>
      <c r="AE198" s="98"/>
      <c r="AF198" s="98"/>
      <c r="AG198" s="144"/>
      <c r="AH198" s="145"/>
      <c r="AI198" s="144"/>
      <c r="AJ198" s="145"/>
      <c r="AK198" s="226"/>
      <c r="AL198" s="226"/>
      <c r="AM198" s="145"/>
      <c r="AN198" s="98"/>
    </row>
    <row r="199" spans="1:40" ht="18" customHeight="1" x14ac:dyDescent="0.25">
      <c r="A199" s="200">
        <v>520.08000000000004</v>
      </c>
      <c r="B199" s="200" t="s">
        <v>200</v>
      </c>
      <c r="C199" s="145">
        <v>1500</v>
      </c>
      <c r="D199" s="145">
        <v>842</v>
      </c>
      <c r="E199" s="145">
        <v>1263</v>
      </c>
      <c r="F199" s="145">
        <v>150</v>
      </c>
      <c r="G199" s="139">
        <v>1500</v>
      </c>
      <c r="H199" s="139">
        <v>959</v>
      </c>
      <c r="I199" s="120">
        <v>1500</v>
      </c>
      <c r="J199" s="120">
        <v>1500</v>
      </c>
      <c r="K199" s="120">
        <v>1500</v>
      </c>
      <c r="M199" s="144"/>
      <c r="N199" s="145"/>
      <c r="O199" s="144"/>
      <c r="P199" s="156"/>
      <c r="Q199" s="226"/>
      <c r="R199" s="226"/>
      <c r="S199" s="156"/>
      <c r="T199" s="98"/>
    </row>
    <row r="200" spans="1:40" ht="18" customHeight="1" x14ac:dyDescent="0.25">
      <c r="A200" s="200">
        <v>520.09</v>
      </c>
      <c r="B200" s="200" t="s">
        <v>212</v>
      </c>
      <c r="C200" s="145">
        <v>4000</v>
      </c>
      <c r="D200" s="145">
        <v>985</v>
      </c>
      <c r="E200" s="145">
        <v>1477</v>
      </c>
      <c r="F200" s="145">
        <v>1000</v>
      </c>
      <c r="G200" s="139">
        <v>200</v>
      </c>
      <c r="H200" s="139">
        <v>0</v>
      </c>
      <c r="I200" s="120">
        <v>200</v>
      </c>
      <c r="J200" s="120">
        <v>100</v>
      </c>
      <c r="K200" s="120">
        <v>100</v>
      </c>
      <c r="M200" s="144"/>
      <c r="N200" s="145"/>
      <c r="O200" s="144"/>
      <c r="P200" s="145"/>
      <c r="Q200" s="226"/>
      <c r="R200" s="226"/>
      <c r="S200" s="145"/>
      <c r="T200" s="98"/>
    </row>
    <row r="201" spans="1:40" ht="18" customHeight="1" x14ac:dyDescent="0.25">
      <c r="A201" s="204">
        <v>520.1</v>
      </c>
      <c r="B201" s="204" t="s">
        <v>748</v>
      </c>
      <c r="C201" s="145">
        <v>4000</v>
      </c>
      <c r="D201" s="145">
        <v>985</v>
      </c>
      <c r="E201" s="145">
        <v>1477</v>
      </c>
      <c r="F201" s="145">
        <v>1000</v>
      </c>
      <c r="G201" s="205">
        <v>200</v>
      </c>
      <c r="H201" s="205">
        <v>11</v>
      </c>
      <c r="I201" s="129">
        <v>150</v>
      </c>
      <c r="J201" s="129">
        <v>0</v>
      </c>
      <c r="K201" s="129">
        <v>0</v>
      </c>
      <c r="M201" s="177"/>
      <c r="N201" s="145"/>
      <c r="O201" s="144"/>
      <c r="P201" s="145"/>
      <c r="Q201" s="226"/>
      <c r="R201" s="226"/>
      <c r="S201" s="145"/>
      <c r="T201" s="98"/>
    </row>
    <row r="202" spans="1:40" ht="18" customHeight="1" thickBot="1" x14ac:dyDescent="0.3">
      <c r="A202" s="206" t="s">
        <v>213</v>
      </c>
      <c r="B202" s="207"/>
      <c r="C202" s="150"/>
      <c r="D202" s="150"/>
      <c r="E202" s="150"/>
      <c r="F202" s="150">
        <f t="shared" ref="F202:K202" si="20">SUM(F193:F201)</f>
        <v>8100</v>
      </c>
      <c r="G202" s="136">
        <f t="shared" si="20"/>
        <v>5200</v>
      </c>
      <c r="H202" s="136">
        <f t="shared" si="20"/>
        <v>3082</v>
      </c>
      <c r="I202" s="136">
        <f t="shared" si="20"/>
        <v>5450</v>
      </c>
      <c r="J202" s="136">
        <f t="shared" si="20"/>
        <v>5000</v>
      </c>
      <c r="K202" s="136">
        <f t="shared" si="20"/>
        <v>5000</v>
      </c>
      <c r="M202" s="144"/>
      <c r="N202" s="145"/>
      <c r="O202" s="144"/>
      <c r="P202" s="145"/>
      <c r="Q202" s="226"/>
      <c r="R202" s="226"/>
      <c r="S202" s="145"/>
      <c r="T202" s="193"/>
    </row>
    <row r="203" spans="1:40" ht="18" customHeight="1" x14ac:dyDescent="0.25">
      <c r="A203" s="200">
        <v>530.01</v>
      </c>
      <c r="B203" s="200" t="s">
        <v>201</v>
      </c>
      <c r="C203" s="119">
        <v>100</v>
      </c>
      <c r="D203" s="119">
        <v>25</v>
      </c>
      <c r="E203" s="119">
        <v>50</v>
      </c>
      <c r="F203" s="119">
        <v>1200</v>
      </c>
      <c r="G203" s="120">
        <v>2400</v>
      </c>
      <c r="H203" s="139">
        <v>1798</v>
      </c>
      <c r="I203" s="120">
        <v>3000</v>
      </c>
      <c r="J203" s="120">
        <v>3000</v>
      </c>
      <c r="K203" s="120">
        <v>3000</v>
      </c>
      <c r="M203" s="178"/>
      <c r="N203" s="156"/>
      <c r="O203" s="178"/>
      <c r="P203" s="156"/>
      <c r="Q203" s="229"/>
      <c r="R203" s="229"/>
      <c r="S203" s="156"/>
      <c r="T203" s="98"/>
    </row>
    <row r="204" spans="1:40" ht="18" customHeight="1" x14ac:dyDescent="0.25">
      <c r="A204" s="200">
        <v>530.03</v>
      </c>
      <c r="B204" s="200" t="s">
        <v>605</v>
      </c>
      <c r="C204" s="119"/>
      <c r="D204" s="119"/>
      <c r="E204" s="119"/>
      <c r="F204" s="119"/>
      <c r="G204" s="120">
        <v>0</v>
      </c>
      <c r="H204" s="139">
        <v>0</v>
      </c>
      <c r="I204" s="120">
        <v>0</v>
      </c>
      <c r="J204" s="120">
        <v>0</v>
      </c>
      <c r="K204" s="120">
        <v>0</v>
      </c>
      <c r="M204" s="178"/>
      <c r="N204" s="156"/>
      <c r="O204" s="178"/>
      <c r="P204" s="156"/>
      <c r="Q204" s="229"/>
      <c r="R204" s="229"/>
      <c r="S204" s="156"/>
      <c r="T204" s="98"/>
    </row>
    <row r="205" spans="1:40" ht="18" customHeight="1" x14ac:dyDescent="0.25">
      <c r="A205" s="200">
        <v>530.04999999999995</v>
      </c>
      <c r="B205" s="200" t="s">
        <v>7</v>
      </c>
      <c r="C205" s="119">
        <v>500</v>
      </c>
      <c r="D205" s="119">
        <v>50</v>
      </c>
      <c r="E205" s="119">
        <v>75</v>
      </c>
      <c r="F205" s="119">
        <v>100</v>
      </c>
      <c r="G205" s="120">
        <v>200</v>
      </c>
      <c r="H205" s="139">
        <v>0</v>
      </c>
      <c r="I205" s="120">
        <v>200</v>
      </c>
      <c r="J205" s="120">
        <v>200</v>
      </c>
      <c r="K205" s="120">
        <v>200</v>
      </c>
    </row>
    <row r="206" spans="1:40" ht="18" customHeight="1" x14ac:dyDescent="0.25">
      <c r="A206" s="200">
        <v>530.08000000000004</v>
      </c>
      <c r="B206" s="200" t="s">
        <v>214</v>
      </c>
      <c r="C206" s="119">
        <v>250</v>
      </c>
      <c r="D206" s="119">
        <v>0</v>
      </c>
      <c r="E206" s="119">
        <v>0</v>
      </c>
      <c r="F206" s="119">
        <v>200</v>
      </c>
      <c r="G206" s="120">
        <v>1300</v>
      </c>
      <c r="H206" s="120">
        <v>847</v>
      </c>
      <c r="I206" s="120">
        <v>1500</v>
      </c>
      <c r="J206" s="121">
        <v>1700</v>
      </c>
      <c r="K206" s="120">
        <v>1700</v>
      </c>
      <c r="L206" s="98"/>
    </row>
    <row r="207" spans="1:40" ht="18" customHeight="1" x14ac:dyDescent="0.25">
      <c r="A207" s="200">
        <v>530.1</v>
      </c>
      <c r="B207" s="200" t="s">
        <v>225</v>
      </c>
      <c r="C207" s="119"/>
      <c r="D207" s="119"/>
      <c r="E207" s="119"/>
      <c r="F207" s="119"/>
      <c r="G207" s="120">
        <v>300</v>
      </c>
      <c r="H207" s="120">
        <v>0</v>
      </c>
      <c r="I207" s="120">
        <v>300</v>
      </c>
      <c r="J207" s="120">
        <v>300</v>
      </c>
      <c r="K207" s="120">
        <v>300</v>
      </c>
      <c r="L207" s="98"/>
    </row>
    <row r="208" spans="1:40" ht="18" customHeight="1" x14ac:dyDescent="0.25">
      <c r="A208" s="204">
        <v>530.11</v>
      </c>
      <c r="B208" s="204" t="s">
        <v>2</v>
      </c>
      <c r="C208" s="119">
        <v>250</v>
      </c>
      <c r="D208" s="119">
        <v>44</v>
      </c>
      <c r="E208" s="119">
        <v>66</v>
      </c>
      <c r="F208" s="119">
        <v>2500</v>
      </c>
      <c r="G208" s="129">
        <v>800</v>
      </c>
      <c r="H208" s="205">
        <v>458</v>
      </c>
      <c r="I208" s="129">
        <v>800</v>
      </c>
      <c r="J208" s="147">
        <v>800</v>
      </c>
      <c r="K208" s="129">
        <v>800</v>
      </c>
      <c r="L208" s="98"/>
    </row>
    <row r="209" spans="1:12" ht="18" customHeight="1" thickBot="1" x14ac:dyDescent="0.3">
      <c r="A209" s="206" t="s">
        <v>167</v>
      </c>
      <c r="B209" s="207"/>
      <c r="C209" s="150"/>
      <c r="D209" s="150"/>
      <c r="E209" s="150"/>
      <c r="F209" s="150">
        <f t="shared" ref="F209:K209" si="21">SUM(F203:F208)</f>
        <v>4000</v>
      </c>
      <c r="G209" s="136">
        <f t="shared" si="21"/>
        <v>5000</v>
      </c>
      <c r="H209" s="136">
        <f t="shared" si="21"/>
        <v>3103</v>
      </c>
      <c r="I209" s="136">
        <f t="shared" si="21"/>
        <v>5800</v>
      </c>
      <c r="J209" s="136">
        <f t="shared" si="21"/>
        <v>6000</v>
      </c>
      <c r="K209" s="154">
        <f t="shared" si="21"/>
        <v>6000</v>
      </c>
      <c r="L209" s="98"/>
    </row>
    <row r="210" spans="1:12" ht="18" customHeight="1" x14ac:dyDescent="0.25">
      <c r="A210" s="145"/>
      <c r="B210" s="145"/>
      <c r="C210" s="145"/>
      <c r="D210" s="145"/>
      <c r="E210" s="145"/>
      <c r="F210" s="145"/>
      <c r="G210" s="211"/>
      <c r="H210" s="211"/>
      <c r="I210" s="163"/>
      <c r="J210" s="230"/>
      <c r="K210" s="163"/>
      <c r="L210" s="98"/>
    </row>
    <row r="211" spans="1:12" ht="18" customHeight="1" x14ac:dyDescent="0.25">
      <c r="A211" s="198">
        <v>540.01</v>
      </c>
      <c r="B211" s="198" t="s">
        <v>182</v>
      </c>
      <c r="C211" s="145">
        <v>600</v>
      </c>
      <c r="D211" s="145">
        <v>303</v>
      </c>
      <c r="E211" s="145">
        <v>455</v>
      </c>
      <c r="F211" s="145">
        <v>250</v>
      </c>
      <c r="G211" s="199">
        <v>1500</v>
      </c>
      <c r="H211" s="199">
        <v>152</v>
      </c>
      <c r="I211" s="113">
        <v>1000</v>
      </c>
      <c r="J211" s="231">
        <v>1500</v>
      </c>
      <c r="K211" s="113">
        <v>1500</v>
      </c>
      <c r="L211" s="98"/>
    </row>
    <row r="212" spans="1:12" ht="18" customHeight="1" x14ac:dyDescent="0.25">
      <c r="A212" s="204">
        <v>540.07000000000005</v>
      </c>
      <c r="B212" s="204" t="s">
        <v>216</v>
      </c>
      <c r="C212" s="145">
        <v>300</v>
      </c>
      <c r="D212" s="145">
        <v>0</v>
      </c>
      <c r="E212" s="145">
        <v>0</v>
      </c>
      <c r="F212" s="145">
        <v>0</v>
      </c>
      <c r="G212" s="205">
        <v>0</v>
      </c>
      <c r="H212" s="205">
        <v>0</v>
      </c>
      <c r="I212" s="129"/>
      <c r="J212" s="129">
        <v>0</v>
      </c>
      <c r="K212" s="129">
        <v>0</v>
      </c>
      <c r="L212" s="98"/>
    </row>
    <row r="213" spans="1:12" ht="18" customHeight="1" thickBot="1" x14ac:dyDescent="0.3">
      <c r="A213" s="206" t="s">
        <v>215</v>
      </c>
      <c r="B213" s="207"/>
      <c r="C213" s="150"/>
      <c r="D213" s="150"/>
      <c r="E213" s="150"/>
      <c r="F213" s="150">
        <f t="shared" ref="F213:K213" si="22">SUM(F211:F212)</f>
        <v>250</v>
      </c>
      <c r="G213" s="136">
        <f t="shared" si="22"/>
        <v>1500</v>
      </c>
      <c r="H213" s="136">
        <f t="shared" si="22"/>
        <v>152</v>
      </c>
      <c r="I213" s="136">
        <f t="shared" si="22"/>
        <v>1000</v>
      </c>
      <c r="J213" s="136">
        <f t="shared" si="22"/>
        <v>1500</v>
      </c>
      <c r="K213" s="136">
        <f t="shared" si="22"/>
        <v>1500</v>
      </c>
      <c r="L213" s="98"/>
    </row>
    <row r="214" spans="1:12" ht="18" customHeight="1" x14ac:dyDescent="0.25">
      <c r="A214" s="201">
        <v>550.02</v>
      </c>
      <c r="B214" s="201" t="s">
        <v>204</v>
      </c>
      <c r="C214" s="153"/>
      <c r="D214" s="153"/>
      <c r="E214" s="153"/>
      <c r="F214" s="153">
        <v>700</v>
      </c>
      <c r="G214" s="121">
        <v>300</v>
      </c>
      <c r="H214" s="121">
        <v>234</v>
      </c>
      <c r="I214" s="121">
        <v>300</v>
      </c>
      <c r="J214" s="120">
        <v>300</v>
      </c>
      <c r="K214" s="123">
        <v>300</v>
      </c>
      <c r="L214" s="98"/>
    </row>
    <row r="215" spans="1:12" ht="18" customHeight="1" x14ac:dyDescent="0.25">
      <c r="A215" s="200">
        <v>550.04</v>
      </c>
      <c r="B215" s="200" t="s">
        <v>205</v>
      </c>
      <c r="C215" s="232"/>
      <c r="D215" s="232"/>
      <c r="E215" s="232"/>
      <c r="F215" s="119">
        <v>1500</v>
      </c>
      <c r="G215" s="120">
        <v>500</v>
      </c>
      <c r="H215" s="120">
        <v>69</v>
      </c>
      <c r="I215" s="120">
        <v>500</v>
      </c>
      <c r="J215" s="120">
        <v>500</v>
      </c>
      <c r="K215" s="123">
        <v>500</v>
      </c>
      <c r="L215" s="98"/>
    </row>
    <row r="216" spans="1:12" ht="18" customHeight="1" x14ac:dyDescent="0.25">
      <c r="A216" s="200">
        <v>550.05999999999995</v>
      </c>
      <c r="B216" s="200" t="s">
        <v>334</v>
      </c>
      <c r="C216" s="232"/>
      <c r="D216" s="232"/>
      <c r="E216" s="232"/>
      <c r="F216" s="119">
        <v>250</v>
      </c>
      <c r="G216" s="120">
        <v>900</v>
      </c>
      <c r="H216" s="120">
        <v>0</v>
      </c>
      <c r="I216" s="120">
        <v>900</v>
      </c>
      <c r="J216" s="120">
        <v>2000</v>
      </c>
      <c r="K216" s="123">
        <v>2000</v>
      </c>
      <c r="L216" s="228"/>
    </row>
    <row r="217" spans="1:12" ht="18" customHeight="1" x14ac:dyDescent="0.25">
      <c r="A217" s="204">
        <v>550.09</v>
      </c>
      <c r="B217" s="204" t="s">
        <v>216</v>
      </c>
      <c r="C217" s="232"/>
      <c r="D217" s="232"/>
      <c r="E217" s="232"/>
      <c r="F217" s="119">
        <v>0</v>
      </c>
      <c r="G217" s="129">
        <v>0</v>
      </c>
      <c r="H217" s="147">
        <v>0</v>
      </c>
      <c r="I217" s="129">
        <v>0</v>
      </c>
      <c r="J217" s="129">
        <v>0</v>
      </c>
      <c r="K217" s="123">
        <v>0</v>
      </c>
    </row>
    <row r="218" spans="1:12" ht="18" customHeight="1" thickBot="1" x14ac:dyDescent="0.3">
      <c r="A218" s="233" t="s">
        <v>202</v>
      </c>
      <c r="B218" s="150"/>
      <c r="C218" s="150"/>
      <c r="D218" s="150"/>
      <c r="E218" s="150"/>
      <c r="F218" s="150">
        <f t="shared" ref="F218:K218" si="23">SUM(F214:F217)</f>
        <v>2450</v>
      </c>
      <c r="G218" s="136">
        <f t="shared" si="23"/>
        <v>1700</v>
      </c>
      <c r="H218" s="136">
        <f t="shared" si="23"/>
        <v>303</v>
      </c>
      <c r="I218" s="136">
        <f t="shared" si="23"/>
        <v>1700</v>
      </c>
      <c r="J218" s="136">
        <f t="shared" si="23"/>
        <v>2800</v>
      </c>
      <c r="K218" s="182">
        <f t="shared" si="23"/>
        <v>2800</v>
      </c>
    </row>
    <row r="219" spans="1:12" ht="18" customHeight="1" x14ac:dyDescent="0.25">
      <c r="A219" s="200">
        <v>560.02</v>
      </c>
      <c r="B219" s="200" t="s">
        <v>179</v>
      </c>
      <c r="C219" s="145"/>
      <c r="D219" s="145"/>
      <c r="E219" s="145"/>
      <c r="F219" s="145">
        <v>100</v>
      </c>
      <c r="G219" s="120">
        <v>100</v>
      </c>
      <c r="H219" s="120">
        <v>0</v>
      </c>
      <c r="I219" s="120">
        <v>100</v>
      </c>
      <c r="J219" s="120">
        <v>100</v>
      </c>
      <c r="K219" s="120">
        <v>100</v>
      </c>
    </row>
    <row r="220" spans="1:12" ht="18" customHeight="1" x14ac:dyDescent="0.25">
      <c r="A220" s="204">
        <v>560.1</v>
      </c>
      <c r="B220" s="204" t="s">
        <v>217</v>
      </c>
      <c r="C220" s="145"/>
      <c r="D220" s="145"/>
      <c r="E220" s="145"/>
      <c r="F220" s="145">
        <v>250</v>
      </c>
      <c r="G220" s="120">
        <v>300</v>
      </c>
      <c r="H220" s="120">
        <v>302</v>
      </c>
      <c r="I220" s="120">
        <v>302</v>
      </c>
      <c r="J220" s="120">
        <v>500</v>
      </c>
      <c r="K220" s="120">
        <v>500</v>
      </c>
    </row>
    <row r="221" spans="1:12" ht="18" customHeight="1" thickBot="1" x14ac:dyDescent="0.3">
      <c r="A221" s="206" t="s">
        <v>178</v>
      </c>
      <c r="B221" s="207"/>
      <c r="C221" s="150"/>
      <c r="D221" s="150"/>
      <c r="E221" s="150"/>
      <c r="F221" s="150">
        <f t="shared" ref="F221:K221" si="24">SUM(F219:F220)</f>
        <v>350</v>
      </c>
      <c r="G221" s="136">
        <f t="shared" si="24"/>
        <v>400</v>
      </c>
      <c r="H221" s="136">
        <f t="shared" si="24"/>
        <v>302</v>
      </c>
      <c r="I221" s="136">
        <f t="shared" si="24"/>
        <v>402</v>
      </c>
      <c r="J221" s="136">
        <f t="shared" si="24"/>
        <v>600</v>
      </c>
      <c r="K221" s="136">
        <f t="shared" si="24"/>
        <v>600</v>
      </c>
    </row>
    <row r="222" spans="1:12" ht="18" customHeight="1" x14ac:dyDescent="0.25">
      <c r="A222" s="204">
        <v>580.01</v>
      </c>
      <c r="B222" s="204" t="s">
        <v>805</v>
      </c>
      <c r="C222" s="145"/>
      <c r="D222" s="145"/>
      <c r="E222" s="145"/>
      <c r="F222" s="145"/>
      <c r="G222" s="129">
        <v>1500</v>
      </c>
      <c r="H222" s="129">
        <v>0</v>
      </c>
      <c r="I222" s="129">
        <v>1500</v>
      </c>
      <c r="J222" s="234">
        <v>5000</v>
      </c>
      <c r="K222" s="129">
        <v>5000</v>
      </c>
    </row>
    <row r="223" spans="1:12" ht="18" customHeight="1" thickBot="1" x14ac:dyDescent="0.3">
      <c r="A223" s="119" t="s">
        <v>806</v>
      </c>
      <c r="B223" s="198"/>
      <c r="C223" s="150"/>
      <c r="D223" s="150"/>
      <c r="E223" s="150"/>
      <c r="F223" s="150"/>
      <c r="G223" s="113">
        <f>SUM(G222)</f>
        <v>1500</v>
      </c>
      <c r="H223" s="113">
        <f>SUM(H222)</f>
        <v>0</v>
      </c>
      <c r="I223" s="113">
        <f>SUM(I222)</f>
        <v>1500</v>
      </c>
      <c r="J223" s="235">
        <f>SUM(J222)</f>
        <v>5000</v>
      </c>
      <c r="K223" s="113">
        <f>SUM(K222)</f>
        <v>5000</v>
      </c>
    </row>
    <row r="224" spans="1:12" ht="18" customHeight="1" x14ac:dyDescent="0.25">
      <c r="A224" s="198">
        <v>590.01</v>
      </c>
      <c r="B224" s="198" t="s">
        <v>203</v>
      </c>
      <c r="C224" s="145"/>
      <c r="D224" s="145"/>
      <c r="E224" s="145"/>
      <c r="F224" s="145"/>
      <c r="G224" s="113">
        <v>0</v>
      </c>
      <c r="H224" s="113">
        <v>0</v>
      </c>
      <c r="I224" s="113">
        <v>0</v>
      </c>
      <c r="J224" s="235">
        <v>0</v>
      </c>
      <c r="K224" s="113">
        <v>0</v>
      </c>
    </row>
    <row r="225" spans="1:25" ht="18" customHeight="1" x14ac:dyDescent="0.25">
      <c r="A225" s="200">
        <v>590.02</v>
      </c>
      <c r="B225" s="200" t="s">
        <v>530</v>
      </c>
      <c r="C225" s="145"/>
      <c r="D225" s="145"/>
      <c r="E225" s="145"/>
      <c r="F225" s="145">
        <v>0</v>
      </c>
      <c r="G225" s="120">
        <v>1000</v>
      </c>
      <c r="H225" s="120">
        <v>208</v>
      </c>
      <c r="I225" s="120">
        <v>600</v>
      </c>
      <c r="J225" s="120">
        <v>2500</v>
      </c>
      <c r="K225" s="120">
        <v>2500</v>
      </c>
    </row>
    <row r="226" spans="1:25" ht="18" customHeight="1" x14ac:dyDescent="0.25">
      <c r="A226" s="204">
        <v>590.04</v>
      </c>
      <c r="B226" s="204" t="s">
        <v>205</v>
      </c>
      <c r="C226" s="145"/>
      <c r="D226" s="145"/>
      <c r="E226" s="145"/>
      <c r="F226" s="145">
        <v>0</v>
      </c>
      <c r="G226" s="129">
        <v>6350</v>
      </c>
      <c r="H226" s="129">
        <v>6349</v>
      </c>
      <c r="I226" s="147">
        <v>6350</v>
      </c>
      <c r="J226" s="192">
        <f>SUM('Budget Req-Animal Cont.'!E55)</f>
        <v>6400</v>
      </c>
      <c r="K226" s="129">
        <v>6400</v>
      </c>
    </row>
    <row r="227" spans="1:25" ht="18" customHeight="1" thickBot="1" x14ac:dyDescent="0.3">
      <c r="A227" s="236" t="s">
        <v>531</v>
      </c>
      <c r="B227" s="237"/>
      <c r="C227" s="145"/>
      <c r="D227" s="145"/>
      <c r="E227" s="145"/>
      <c r="F227" s="145">
        <v>0</v>
      </c>
      <c r="G227" s="113">
        <f>SUM(G224:G226)</f>
        <v>7350</v>
      </c>
      <c r="H227" s="113">
        <f t="shared" ref="H227:J227" si="25">SUM(H224:H226)</f>
        <v>6557</v>
      </c>
      <c r="I227" s="113">
        <f t="shared" si="25"/>
        <v>6950</v>
      </c>
      <c r="J227" s="113">
        <f t="shared" si="25"/>
        <v>8900</v>
      </c>
      <c r="K227" s="113">
        <f>SUM(K224:K226)</f>
        <v>8900</v>
      </c>
    </row>
    <row r="228" spans="1:25" ht="18" customHeight="1" thickBot="1" x14ac:dyDescent="0.3">
      <c r="A228" s="537" t="s">
        <v>219</v>
      </c>
      <c r="B228" s="538"/>
      <c r="C228" s="238"/>
      <c r="D228" s="238"/>
      <c r="E228" s="238"/>
      <c r="F228" s="239">
        <f>SUM(F192+F202+F209+F213+F218+F221)</f>
        <v>50406.520000000004</v>
      </c>
      <c r="G228" s="240">
        <f>SUM(G192+G202+G209+G213+G218+G221+G227)+G223</f>
        <v>86015</v>
      </c>
      <c r="H228" s="240">
        <f>SUM(H192+H202+H209+H213+H218+H221+H227)</f>
        <v>52800</v>
      </c>
      <c r="I228" s="240">
        <f>SUM(I192+I202+I209+I213+I218+I221+I227)</f>
        <v>82223.878400000001</v>
      </c>
      <c r="J228" s="240">
        <f>SUM(J192+J202+J209+J213+J218+J221+J223+J227)</f>
        <v>99296.896559999994</v>
      </c>
      <c r="K228" s="240">
        <f>SUM(K192+K202+K209+K213+K218+K221+K223+K227)</f>
        <v>99708.350200000001</v>
      </c>
    </row>
    <row r="229" spans="1:25" x14ac:dyDescent="0.25">
      <c r="G229" s="171"/>
      <c r="H229" s="171"/>
      <c r="I229" s="241"/>
      <c r="J229" s="242"/>
      <c r="K229" s="163"/>
      <c r="Y229" s="96" t="s">
        <v>848</v>
      </c>
    </row>
    <row r="230" spans="1:25" x14ac:dyDescent="0.25">
      <c r="A230" s="243"/>
      <c r="B230" s="244"/>
      <c r="C230" s="245"/>
      <c r="D230" s="245"/>
      <c r="E230" s="245"/>
      <c r="F230" s="245"/>
      <c r="G230" s="195"/>
      <c r="H230" s="173"/>
      <c r="I230" s="172" t="str">
        <f>+I2</f>
        <v xml:space="preserve"> Estimated</v>
      </c>
      <c r="J230" s="172" t="s">
        <v>1093</v>
      </c>
      <c r="K230" s="246" t="s">
        <v>1077</v>
      </c>
    </row>
    <row r="231" spans="1:25" x14ac:dyDescent="0.25">
      <c r="A231" s="103" t="s">
        <v>220</v>
      </c>
      <c r="B231" s="247"/>
      <c r="C231" s="248"/>
      <c r="D231" s="248"/>
      <c r="E231" s="248"/>
      <c r="F231" s="215" t="s">
        <v>221</v>
      </c>
      <c r="G231" s="175" t="str">
        <f>+G3</f>
        <v>Budget 2016-17</v>
      </c>
      <c r="H231" s="175" t="str">
        <f>+H3</f>
        <v>Actual 5/31/17</v>
      </c>
      <c r="I231" s="196">
        <f>+I3</f>
        <v>43008</v>
      </c>
      <c r="J231" s="175" t="str">
        <f>+J3</f>
        <v>Budget 2017-18</v>
      </c>
      <c r="K231" s="249" t="s">
        <v>1076</v>
      </c>
    </row>
    <row r="232" spans="1:25" x14ac:dyDescent="0.25">
      <c r="A232" s="176" t="s">
        <v>335</v>
      </c>
      <c r="B232" s="250" t="s">
        <v>155</v>
      </c>
      <c r="C232" s="251"/>
      <c r="D232" s="251"/>
      <c r="E232" s="251"/>
      <c r="F232" s="203">
        <v>300</v>
      </c>
      <c r="G232" s="235">
        <v>200</v>
      </c>
      <c r="H232" s="235">
        <v>19</v>
      </c>
      <c r="I232" s="235">
        <v>200</v>
      </c>
      <c r="J232" s="235">
        <v>1000</v>
      </c>
      <c r="K232" s="113">
        <v>1000</v>
      </c>
    </row>
    <row r="233" spans="1:25" x14ac:dyDescent="0.25">
      <c r="A233" s="186">
        <v>510.04</v>
      </c>
      <c r="B233" s="252" t="s">
        <v>156</v>
      </c>
      <c r="C233" s="251"/>
      <c r="D233" s="251"/>
      <c r="E233" s="251"/>
      <c r="F233" s="203">
        <v>10000</v>
      </c>
      <c r="G233" s="253">
        <v>10000</v>
      </c>
      <c r="H233" s="253">
        <v>9995</v>
      </c>
      <c r="I233" s="120">
        <v>10000</v>
      </c>
      <c r="J233" s="120">
        <f>SUM('Budget Req-KVFD'!E10)</f>
        <v>18000</v>
      </c>
      <c r="K233" s="120">
        <v>18000</v>
      </c>
    </row>
    <row r="234" spans="1:25" x14ac:dyDescent="0.25">
      <c r="A234" s="186">
        <v>510.08</v>
      </c>
      <c r="B234" s="252" t="s">
        <v>327</v>
      </c>
      <c r="C234" s="251"/>
      <c r="D234" s="251"/>
      <c r="E234" s="251"/>
      <c r="F234" s="203">
        <v>528</v>
      </c>
      <c r="G234" s="253">
        <v>300</v>
      </c>
      <c r="H234" s="120">
        <v>273</v>
      </c>
      <c r="I234" s="120">
        <v>300</v>
      </c>
      <c r="J234" s="120">
        <f>SUM('Budget Req-KVFD'!E11)</f>
        <v>400</v>
      </c>
      <c r="K234" s="120">
        <v>400</v>
      </c>
    </row>
    <row r="235" spans="1:25" x14ac:dyDescent="0.25">
      <c r="A235" s="254">
        <v>510.1</v>
      </c>
      <c r="B235" s="255" t="s">
        <v>222</v>
      </c>
      <c r="C235" s="251"/>
      <c r="D235" s="251"/>
      <c r="E235" s="251"/>
      <c r="F235" s="203">
        <v>2808</v>
      </c>
      <c r="G235" s="234">
        <v>3108</v>
      </c>
      <c r="H235" s="234">
        <v>2258</v>
      </c>
      <c r="I235" s="234">
        <v>3108</v>
      </c>
      <c r="J235" s="129">
        <f>SUM('Budget Req-KVFD'!E13)</f>
        <v>2500</v>
      </c>
      <c r="K235" s="129">
        <v>2500</v>
      </c>
    </row>
    <row r="236" spans="1:25" ht="18.75" thickBot="1" x14ac:dyDescent="0.3">
      <c r="A236" s="256" t="s">
        <v>210</v>
      </c>
      <c r="B236" s="257"/>
      <c r="C236" s="258"/>
      <c r="D236" s="258"/>
      <c r="E236" s="258"/>
      <c r="F236" s="259">
        <f t="shared" ref="F236:K236" si="26">SUM(F232:F235)</f>
        <v>13636</v>
      </c>
      <c r="G236" s="260">
        <f t="shared" si="26"/>
        <v>13608</v>
      </c>
      <c r="H236" s="260">
        <f t="shared" si="26"/>
        <v>12545</v>
      </c>
      <c r="I236" s="260">
        <f t="shared" si="26"/>
        <v>13608</v>
      </c>
      <c r="J236" s="260">
        <f t="shared" si="26"/>
        <v>21900</v>
      </c>
      <c r="K236" s="136">
        <f t="shared" si="26"/>
        <v>21900</v>
      </c>
    </row>
    <row r="237" spans="1:25" x14ac:dyDescent="0.25">
      <c r="A237" s="186">
        <v>520.01</v>
      </c>
      <c r="B237" s="252" t="s">
        <v>161</v>
      </c>
      <c r="C237" s="251"/>
      <c r="D237" s="251"/>
      <c r="E237" s="251"/>
      <c r="F237" s="203">
        <v>1000</v>
      </c>
      <c r="G237" s="253">
        <v>100</v>
      </c>
      <c r="H237" s="253">
        <v>165</v>
      </c>
      <c r="I237" s="253">
        <v>200</v>
      </c>
      <c r="J237" s="253">
        <v>300</v>
      </c>
      <c r="K237" s="253">
        <v>300</v>
      </c>
    </row>
    <row r="238" spans="1:25" x14ac:dyDescent="0.25">
      <c r="A238" s="186">
        <v>520.02</v>
      </c>
      <c r="B238" s="252" t="s">
        <v>196</v>
      </c>
      <c r="C238" s="251"/>
      <c r="D238" s="251"/>
      <c r="E238" s="251"/>
      <c r="F238" s="203"/>
      <c r="G238" s="253">
        <v>180</v>
      </c>
      <c r="H238" s="253">
        <v>90</v>
      </c>
      <c r="I238" s="253">
        <v>180</v>
      </c>
      <c r="J238" s="253">
        <v>180</v>
      </c>
      <c r="K238" s="253">
        <v>180</v>
      </c>
    </row>
    <row r="239" spans="1:25" x14ac:dyDescent="0.25">
      <c r="A239" s="186">
        <v>520.03</v>
      </c>
      <c r="B239" s="252" t="s">
        <v>223</v>
      </c>
      <c r="C239" s="251"/>
      <c r="D239" s="251"/>
      <c r="E239" s="251"/>
      <c r="F239" s="203">
        <v>700</v>
      </c>
      <c r="G239" s="253">
        <v>800</v>
      </c>
      <c r="H239" s="253">
        <v>800</v>
      </c>
      <c r="I239" s="120">
        <v>800</v>
      </c>
      <c r="J239" s="120">
        <f>SUM('Budget Req-KVFD'!E15)</f>
        <v>800</v>
      </c>
      <c r="K239" s="120">
        <v>800</v>
      </c>
    </row>
    <row r="240" spans="1:25" x14ac:dyDescent="0.25">
      <c r="A240" s="186">
        <v>520.04</v>
      </c>
      <c r="B240" s="252" t="s">
        <v>197</v>
      </c>
      <c r="C240" s="251"/>
      <c r="D240" s="251"/>
      <c r="E240" s="251"/>
      <c r="F240" s="203">
        <v>500</v>
      </c>
      <c r="G240" s="253">
        <v>300</v>
      </c>
      <c r="H240" s="253">
        <v>86</v>
      </c>
      <c r="I240" s="253">
        <v>300</v>
      </c>
      <c r="J240" s="120">
        <v>300</v>
      </c>
      <c r="K240" s="120">
        <v>300</v>
      </c>
    </row>
    <row r="241" spans="1:12" x14ac:dyDescent="0.25">
      <c r="A241" s="186">
        <v>520.05999999999995</v>
      </c>
      <c r="B241" s="252" t="s">
        <v>198</v>
      </c>
      <c r="C241" s="251"/>
      <c r="D241" s="251"/>
      <c r="E241" s="251"/>
      <c r="F241" s="203">
        <v>2800</v>
      </c>
      <c r="G241" s="253">
        <v>1700</v>
      </c>
      <c r="H241" s="253">
        <v>1204</v>
      </c>
      <c r="I241" s="253">
        <v>1800</v>
      </c>
      <c r="J241" s="253">
        <v>1700</v>
      </c>
      <c r="K241" s="253">
        <v>1700</v>
      </c>
    </row>
    <row r="242" spans="1:12" s="164" customFormat="1" x14ac:dyDescent="0.25">
      <c r="A242" s="186">
        <v>520.07000000000005</v>
      </c>
      <c r="B242" s="252" t="s">
        <v>224</v>
      </c>
      <c r="C242" s="251"/>
      <c r="D242" s="251"/>
      <c r="E242" s="251"/>
      <c r="F242" s="203">
        <v>1000</v>
      </c>
      <c r="G242" s="253">
        <v>200</v>
      </c>
      <c r="H242" s="253">
        <v>0</v>
      </c>
      <c r="I242" s="253">
        <v>200</v>
      </c>
      <c r="J242" s="253">
        <v>200</v>
      </c>
      <c r="K242" s="253">
        <v>200</v>
      </c>
      <c r="L242" s="96"/>
    </row>
    <row r="243" spans="1:12" s="146" customFormat="1" x14ac:dyDescent="0.25">
      <c r="A243" s="186">
        <v>520.08000000000004</v>
      </c>
      <c r="B243" s="252" t="s">
        <v>200</v>
      </c>
      <c r="C243" s="251"/>
      <c r="D243" s="251"/>
      <c r="E243" s="251"/>
      <c r="F243" s="203"/>
      <c r="G243" s="253">
        <v>150</v>
      </c>
      <c r="H243" s="253">
        <v>111</v>
      </c>
      <c r="I243" s="253">
        <v>150</v>
      </c>
      <c r="J243" s="253">
        <v>150</v>
      </c>
      <c r="K243" s="253">
        <v>150</v>
      </c>
      <c r="L243" s="96"/>
    </row>
    <row r="244" spans="1:12" s="146" customFormat="1" x14ac:dyDescent="0.25">
      <c r="A244" s="254">
        <v>520.1</v>
      </c>
      <c r="B244" s="255" t="s">
        <v>216</v>
      </c>
      <c r="C244" s="251"/>
      <c r="D244" s="251"/>
      <c r="E244" s="251"/>
      <c r="F244" s="203">
        <v>2000</v>
      </c>
      <c r="G244" s="234">
        <v>1800</v>
      </c>
      <c r="H244" s="234">
        <v>2138</v>
      </c>
      <c r="I244" s="129">
        <v>2200</v>
      </c>
      <c r="J244" s="129">
        <f>SUM('Budget Req-KVFD'!E17)</f>
        <v>2500</v>
      </c>
      <c r="K244" s="129">
        <v>2500</v>
      </c>
      <c r="L244" s="96"/>
    </row>
    <row r="245" spans="1:12" s="146" customFormat="1" ht="18.75" thickBot="1" x14ac:dyDescent="0.3">
      <c r="A245" s="256" t="s">
        <v>166</v>
      </c>
      <c r="B245" s="257"/>
      <c r="C245" s="258"/>
      <c r="D245" s="258"/>
      <c r="E245" s="258"/>
      <c r="F245" s="259">
        <f t="shared" ref="F245:K245" si="27">SUM(F237:F244)</f>
        <v>8000</v>
      </c>
      <c r="G245" s="260">
        <f t="shared" si="27"/>
        <v>5230</v>
      </c>
      <c r="H245" s="260">
        <f t="shared" si="27"/>
        <v>4594</v>
      </c>
      <c r="I245" s="260">
        <f t="shared" si="27"/>
        <v>5830</v>
      </c>
      <c r="J245" s="260">
        <f t="shared" si="27"/>
        <v>6130</v>
      </c>
      <c r="K245" s="136">
        <f t="shared" si="27"/>
        <v>6130</v>
      </c>
      <c r="L245" s="96"/>
    </row>
    <row r="246" spans="1:12" s="146" customFormat="1" x14ac:dyDescent="0.25">
      <c r="A246" s="186">
        <v>530.01</v>
      </c>
      <c r="B246" s="252" t="s">
        <v>201</v>
      </c>
      <c r="C246" s="251"/>
      <c r="D246" s="251"/>
      <c r="E246" s="251"/>
      <c r="F246" s="203">
        <v>2000</v>
      </c>
      <c r="G246" s="253">
        <v>3800</v>
      </c>
      <c r="H246" s="253">
        <v>1529</v>
      </c>
      <c r="I246" s="253">
        <v>3500</v>
      </c>
      <c r="J246" s="120">
        <f>SUM('Budget Req-KVFD'!E21)</f>
        <v>2000</v>
      </c>
      <c r="K246" s="120">
        <v>2000</v>
      </c>
      <c r="L246" s="96"/>
    </row>
    <row r="247" spans="1:12" s="146" customFormat="1" x14ac:dyDescent="0.25">
      <c r="A247" s="186">
        <v>530.02</v>
      </c>
      <c r="B247" s="252" t="s">
        <v>71</v>
      </c>
      <c r="C247" s="251"/>
      <c r="D247" s="251"/>
      <c r="E247" s="251"/>
      <c r="F247" s="203">
        <v>1000</v>
      </c>
      <c r="G247" s="253">
        <v>1000</v>
      </c>
      <c r="H247" s="253">
        <v>0</v>
      </c>
      <c r="I247" s="120">
        <v>1000</v>
      </c>
      <c r="J247" s="120">
        <f>SUM('Budget Req-KVFD'!E25)</f>
        <v>0</v>
      </c>
      <c r="K247" s="120">
        <f>SUM('Budget Req-KVFD'!F25)</f>
        <v>0</v>
      </c>
      <c r="L247" s="164"/>
    </row>
    <row r="248" spans="1:12" s="146" customFormat="1" x14ac:dyDescent="0.25">
      <c r="A248" s="186">
        <v>530.03</v>
      </c>
      <c r="B248" s="252" t="s">
        <v>605</v>
      </c>
      <c r="C248" s="251"/>
      <c r="D248" s="251"/>
      <c r="E248" s="251"/>
      <c r="F248" s="203">
        <v>1033</v>
      </c>
      <c r="G248" s="253">
        <v>1000</v>
      </c>
      <c r="H248" s="253">
        <v>0</v>
      </c>
      <c r="I248" s="121">
        <v>1000</v>
      </c>
      <c r="J248" s="120">
        <f>SUM('Budget Req-KVFD'!E27)</f>
        <v>1000</v>
      </c>
      <c r="K248" s="120">
        <v>1000</v>
      </c>
      <c r="L248" s="96"/>
    </row>
    <row r="249" spans="1:12" s="146" customFormat="1" x14ac:dyDescent="0.25">
      <c r="A249" s="261">
        <v>530.04</v>
      </c>
      <c r="B249" s="262" t="s">
        <v>680</v>
      </c>
      <c r="C249" s="263"/>
      <c r="D249" s="263"/>
      <c r="E249" s="263"/>
      <c r="F249" s="264"/>
      <c r="G249" s="265">
        <v>0</v>
      </c>
      <c r="H249" s="265">
        <v>0</v>
      </c>
      <c r="I249" s="187">
        <v>0</v>
      </c>
      <c r="J249" s="187">
        <v>0</v>
      </c>
      <c r="K249" s="187">
        <v>0</v>
      </c>
      <c r="L249" s="96"/>
    </row>
    <row r="250" spans="1:12" s="146" customFormat="1" x14ac:dyDescent="0.25">
      <c r="A250" s="186">
        <v>530.1</v>
      </c>
      <c r="B250" s="252" t="s">
        <v>225</v>
      </c>
      <c r="C250" s="251"/>
      <c r="D250" s="251"/>
      <c r="E250" s="251"/>
      <c r="F250" s="203">
        <v>200</v>
      </c>
      <c r="G250" s="253">
        <v>500</v>
      </c>
      <c r="H250" s="253">
        <v>398</v>
      </c>
      <c r="I250" s="253">
        <v>500</v>
      </c>
      <c r="J250" s="253">
        <v>500</v>
      </c>
      <c r="K250" s="253">
        <v>500</v>
      </c>
      <c r="L250" s="96"/>
    </row>
    <row r="251" spans="1:12" s="146" customFormat="1" x14ac:dyDescent="0.25">
      <c r="A251" s="186">
        <v>530.11</v>
      </c>
      <c r="B251" s="252" t="s">
        <v>2</v>
      </c>
      <c r="C251" s="251"/>
      <c r="D251" s="251"/>
      <c r="E251" s="251"/>
      <c r="F251" s="203">
        <v>1900</v>
      </c>
      <c r="G251" s="253">
        <v>2700</v>
      </c>
      <c r="H251" s="253">
        <v>1839</v>
      </c>
      <c r="I251" s="253">
        <v>3000</v>
      </c>
      <c r="J251" s="253">
        <v>2700</v>
      </c>
      <c r="K251" s="253">
        <v>2700</v>
      </c>
      <c r="L251" s="96"/>
    </row>
    <row r="252" spans="1:12" s="146" customFormat="1" x14ac:dyDescent="0.25">
      <c r="A252" s="254">
        <v>530.13</v>
      </c>
      <c r="B252" s="255" t="s">
        <v>172</v>
      </c>
      <c r="C252" s="251"/>
      <c r="D252" s="251"/>
      <c r="E252" s="251"/>
      <c r="F252" s="203">
        <v>540</v>
      </c>
      <c r="G252" s="234">
        <v>540</v>
      </c>
      <c r="H252" s="234">
        <v>360</v>
      </c>
      <c r="I252" s="129">
        <v>540</v>
      </c>
      <c r="J252" s="129">
        <f>SUM('Budget Req-KVFD'!E31)</f>
        <v>540</v>
      </c>
      <c r="K252" s="129">
        <v>540</v>
      </c>
      <c r="L252" s="96"/>
    </row>
    <row r="253" spans="1:12" s="146" customFormat="1" ht="18.75" thickBot="1" x14ac:dyDescent="0.3">
      <c r="A253" s="256" t="s">
        <v>167</v>
      </c>
      <c r="B253" s="257"/>
      <c r="C253" s="258"/>
      <c r="D253" s="258"/>
      <c r="E253" s="258"/>
      <c r="F253" s="259">
        <f t="shared" ref="F253:K253" si="28">SUM(F246:F252)</f>
        <v>6673</v>
      </c>
      <c r="G253" s="260">
        <f t="shared" si="28"/>
        <v>9540</v>
      </c>
      <c r="H253" s="260">
        <f t="shared" si="28"/>
        <v>4126</v>
      </c>
      <c r="I253" s="260">
        <f t="shared" si="28"/>
        <v>9540</v>
      </c>
      <c r="J253" s="260">
        <f t="shared" si="28"/>
        <v>6740</v>
      </c>
      <c r="K253" s="136">
        <f t="shared" si="28"/>
        <v>6740</v>
      </c>
      <c r="L253" s="96"/>
    </row>
    <row r="254" spans="1:12" s="146" customFormat="1" x14ac:dyDescent="0.25">
      <c r="A254" s="254">
        <v>540.01</v>
      </c>
      <c r="B254" s="255" t="s">
        <v>182</v>
      </c>
      <c r="C254" s="251"/>
      <c r="D254" s="251"/>
      <c r="E254" s="251"/>
      <c r="F254" s="203">
        <v>3600</v>
      </c>
      <c r="G254" s="234">
        <v>800</v>
      </c>
      <c r="H254" s="234">
        <v>0</v>
      </c>
      <c r="I254" s="129">
        <v>800</v>
      </c>
      <c r="J254" s="129">
        <f>SUM('Budget Req-KVFD'!E35)</f>
        <v>1500</v>
      </c>
      <c r="K254" s="129">
        <v>1500</v>
      </c>
      <c r="L254" s="96"/>
    </row>
    <row r="255" spans="1:12" s="146" customFormat="1" ht="18.75" thickBot="1" x14ac:dyDescent="0.3">
      <c r="A255" s="256" t="s">
        <v>215</v>
      </c>
      <c r="B255" s="257"/>
      <c r="C255" s="258"/>
      <c r="D255" s="258"/>
      <c r="E255" s="258"/>
      <c r="F255" s="259">
        <f t="shared" ref="F255:K255" si="29">SUM(F254)</f>
        <v>3600</v>
      </c>
      <c r="G255" s="260">
        <f t="shared" si="29"/>
        <v>800</v>
      </c>
      <c r="H255" s="260">
        <f t="shared" si="29"/>
        <v>0</v>
      </c>
      <c r="I255" s="260">
        <f t="shared" si="29"/>
        <v>800</v>
      </c>
      <c r="J255" s="260">
        <f t="shared" si="29"/>
        <v>1500</v>
      </c>
      <c r="K255" s="136">
        <f t="shared" si="29"/>
        <v>1500</v>
      </c>
      <c r="L255" s="96"/>
    </row>
    <row r="256" spans="1:12" s="146" customFormat="1" x14ac:dyDescent="0.25">
      <c r="A256" s="186">
        <v>550.02</v>
      </c>
      <c r="B256" s="252" t="s">
        <v>204</v>
      </c>
      <c r="C256" s="251"/>
      <c r="D256" s="251"/>
      <c r="E256" s="251"/>
      <c r="F256" s="203">
        <v>0</v>
      </c>
      <c r="G256" s="253">
        <v>5000</v>
      </c>
      <c r="H256" s="120">
        <v>5812</v>
      </c>
      <c r="I256" s="253">
        <v>5812</v>
      </c>
      <c r="J256" s="266">
        <f>'Budget Req-KVFD'!E37</f>
        <v>5500</v>
      </c>
      <c r="K256" s="120">
        <v>5500</v>
      </c>
      <c r="L256" s="96"/>
    </row>
    <row r="257" spans="1:13" s="146" customFormat="1" x14ac:dyDescent="0.25">
      <c r="A257" s="186">
        <v>550.04</v>
      </c>
      <c r="B257" s="252" t="s">
        <v>205</v>
      </c>
      <c r="C257" s="251"/>
      <c r="D257" s="251"/>
      <c r="E257" s="251"/>
      <c r="F257" s="203">
        <v>7500</v>
      </c>
      <c r="G257" s="253">
        <v>4000</v>
      </c>
      <c r="H257" s="253">
        <v>4498</v>
      </c>
      <c r="I257" s="253">
        <v>4500</v>
      </c>
      <c r="J257" s="266">
        <f>'Budget Req-KVFD'!E41</f>
        <v>6000</v>
      </c>
      <c r="K257" s="120">
        <v>6000</v>
      </c>
      <c r="L257" s="96"/>
    </row>
    <row r="258" spans="1:13" s="146" customFormat="1" x14ac:dyDescent="0.25">
      <c r="A258" s="254">
        <v>550.04999999999995</v>
      </c>
      <c r="B258" s="255" t="s">
        <v>226</v>
      </c>
      <c r="C258" s="251"/>
      <c r="D258" s="251"/>
      <c r="E258" s="251"/>
      <c r="F258" s="203">
        <v>1000</v>
      </c>
      <c r="G258" s="234">
        <v>1000</v>
      </c>
      <c r="H258" s="234">
        <v>564</v>
      </c>
      <c r="I258" s="129">
        <v>600</v>
      </c>
      <c r="J258" s="267">
        <f>SUM('Budget Req-KVFD'!E43)</f>
        <v>1000</v>
      </c>
      <c r="K258" s="120">
        <v>1000</v>
      </c>
      <c r="L258" s="96"/>
    </row>
    <row r="259" spans="1:13" s="146" customFormat="1" ht="18.75" thickBot="1" x14ac:dyDescent="0.3">
      <c r="A259" s="256" t="s">
        <v>202</v>
      </c>
      <c r="B259" s="257"/>
      <c r="C259" s="258"/>
      <c r="D259" s="258"/>
      <c r="E259" s="258"/>
      <c r="F259" s="259">
        <f>SUM(F257:F258)</f>
        <v>8500</v>
      </c>
      <c r="G259" s="260">
        <f>SUM(G256:G258)</f>
        <v>10000</v>
      </c>
      <c r="H259" s="260">
        <f>SUM(H256:H258)</f>
        <v>10874</v>
      </c>
      <c r="I259" s="260">
        <f>SUM(I256:I258)</f>
        <v>10912</v>
      </c>
      <c r="J259" s="260">
        <f>SUM(J256:J258)</f>
        <v>12500</v>
      </c>
      <c r="K259" s="136">
        <f>SUM(K256:K258)</f>
        <v>12500</v>
      </c>
      <c r="L259" s="96"/>
    </row>
    <row r="260" spans="1:13" s="146" customFormat="1" x14ac:dyDescent="0.25">
      <c r="A260" s="186">
        <v>560.02</v>
      </c>
      <c r="B260" s="252" t="s">
        <v>179</v>
      </c>
      <c r="C260" s="251"/>
      <c r="D260" s="251"/>
      <c r="E260" s="251"/>
      <c r="F260" s="203">
        <v>3500</v>
      </c>
      <c r="G260" s="268">
        <v>300</v>
      </c>
      <c r="H260" s="253">
        <v>1000</v>
      </c>
      <c r="I260" s="268">
        <v>1000</v>
      </c>
      <c r="J260" s="187">
        <f>SUM('Budget Req-KVFD'!E47)</f>
        <v>1200</v>
      </c>
      <c r="K260" s="120">
        <v>1200</v>
      </c>
      <c r="L260" s="96"/>
      <c r="M260" s="96"/>
    </row>
    <row r="261" spans="1:13" s="146" customFormat="1" x14ac:dyDescent="0.25">
      <c r="A261" s="254">
        <v>560.1</v>
      </c>
      <c r="B261" s="255" t="s">
        <v>180</v>
      </c>
      <c r="C261" s="251"/>
      <c r="D261" s="251"/>
      <c r="E261" s="251"/>
      <c r="F261" s="203">
        <v>3000</v>
      </c>
      <c r="G261" s="269">
        <v>6000</v>
      </c>
      <c r="H261" s="234">
        <v>2527</v>
      </c>
      <c r="I261" s="269">
        <v>5000</v>
      </c>
      <c r="J261" s="192">
        <f>SUM('Budget Req-KVFD'!E49)</f>
        <v>6000</v>
      </c>
      <c r="K261" s="129">
        <v>6000</v>
      </c>
      <c r="L261" s="96"/>
      <c r="M261" s="157"/>
    </row>
    <row r="262" spans="1:13" ht="18.75" thickBot="1" x14ac:dyDescent="0.3">
      <c r="A262" s="256" t="s">
        <v>178</v>
      </c>
      <c r="B262" s="257"/>
      <c r="C262" s="258"/>
      <c r="D262" s="258"/>
      <c r="E262" s="258"/>
      <c r="F262" s="259">
        <f t="shared" ref="F262:K262" si="30">SUM(F260:F261)</f>
        <v>6500</v>
      </c>
      <c r="G262" s="260">
        <f t="shared" si="30"/>
        <v>6300</v>
      </c>
      <c r="H262" s="260">
        <f t="shared" si="30"/>
        <v>3527</v>
      </c>
      <c r="I262" s="260">
        <f t="shared" si="30"/>
        <v>6000</v>
      </c>
      <c r="J262" s="260">
        <f t="shared" si="30"/>
        <v>7200</v>
      </c>
      <c r="K262" s="182">
        <f t="shared" si="30"/>
        <v>7200</v>
      </c>
    </row>
    <row r="263" spans="1:13" x14ac:dyDescent="0.25">
      <c r="A263" s="254">
        <v>580.20000000000005</v>
      </c>
      <c r="B263" s="255" t="s">
        <v>569</v>
      </c>
      <c r="C263" s="251"/>
      <c r="D263" s="251"/>
      <c r="E263" s="251"/>
      <c r="F263" s="203"/>
      <c r="G263" s="234">
        <v>0</v>
      </c>
      <c r="H263" s="234">
        <v>0</v>
      </c>
      <c r="I263" s="234">
        <v>0</v>
      </c>
      <c r="J263" s="129">
        <v>0</v>
      </c>
      <c r="K263" s="147">
        <v>0</v>
      </c>
    </row>
    <row r="264" spans="1:13" ht="18.75" thickBot="1" x14ac:dyDescent="0.3">
      <c r="A264" s="256" t="s">
        <v>570</v>
      </c>
      <c r="B264" s="257"/>
      <c r="C264" s="258"/>
      <c r="D264" s="258"/>
      <c r="E264" s="258"/>
      <c r="F264" s="259"/>
      <c r="G264" s="260">
        <f>SUM(G263)</f>
        <v>0</v>
      </c>
      <c r="H264" s="260">
        <f>SUM(H263)</f>
        <v>0</v>
      </c>
      <c r="I264" s="260">
        <f>SUM(I263)</f>
        <v>0</v>
      </c>
      <c r="J264" s="136">
        <f>SUM(J263)</f>
        <v>0</v>
      </c>
      <c r="K264" s="182">
        <f>SUM(K263)</f>
        <v>0</v>
      </c>
    </row>
    <row r="265" spans="1:13" s="157" customFormat="1" x14ac:dyDescent="0.25">
      <c r="A265" s="186">
        <v>590.01</v>
      </c>
      <c r="B265" s="252" t="s">
        <v>203</v>
      </c>
      <c r="C265" s="251"/>
      <c r="D265" s="251"/>
      <c r="E265" s="251"/>
      <c r="F265" s="203"/>
      <c r="G265" s="253">
        <v>0</v>
      </c>
      <c r="H265" s="253">
        <v>0</v>
      </c>
      <c r="I265" s="253">
        <v>0</v>
      </c>
      <c r="J265" s="120">
        <v>0</v>
      </c>
      <c r="K265" s="121">
        <v>0</v>
      </c>
      <c r="L265" s="146"/>
      <c r="M265" s="146"/>
    </row>
    <row r="266" spans="1:13" x14ac:dyDescent="0.25">
      <c r="A266" s="186">
        <v>590.04</v>
      </c>
      <c r="B266" s="252" t="s">
        <v>205</v>
      </c>
      <c r="C266" s="251"/>
      <c r="D266" s="251"/>
      <c r="E266" s="251"/>
      <c r="F266" s="203">
        <v>16142</v>
      </c>
      <c r="G266" s="253">
        <v>33000</v>
      </c>
      <c r="H266" s="120">
        <v>161819</v>
      </c>
      <c r="I266" s="120">
        <f>+H266+(2727*4)</f>
        <v>172727</v>
      </c>
      <c r="J266" s="187">
        <f>SUM('Budget Req-KVFD'!E51)</f>
        <v>32724</v>
      </c>
      <c r="K266" s="121">
        <v>32724</v>
      </c>
      <c r="L266" s="146"/>
      <c r="M266" s="146"/>
    </row>
    <row r="267" spans="1:13" x14ac:dyDescent="0.25">
      <c r="A267" s="186">
        <v>590.04999999999995</v>
      </c>
      <c r="B267" s="252" t="s">
        <v>226</v>
      </c>
      <c r="C267" s="251"/>
      <c r="D267" s="251"/>
      <c r="E267" s="251"/>
      <c r="F267" s="203">
        <v>2000</v>
      </c>
      <c r="G267" s="253">
        <v>750</v>
      </c>
      <c r="H267" s="120">
        <v>0</v>
      </c>
      <c r="I267" s="121">
        <v>750</v>
      </c>
      <c r="J267" s="187">
        <f>SUM('Budget Req-KVFD'!E53)</f>
        <v>750</v>
      </c>
      <c r="K267" s="121">
        <v>750</v>
      </c>
      <c r="L267" s="146"/>
      <c r="M267" s="146"/>
    </row>
    <row r="268" spans="1:13" s="146" customFormat="1" x14ac:dyDescent="0.25">
      <c r="A268" s="186">
        <v>590.05999999999995</v>
      </c>
      <c r="B268" s="252" t="s">
        <v>227</v>
      </c>
      <c r="C268" s="251"/>
      <c r="D268" s="251"/>
      <c r="E268" s="251"/>
      <c r="F268" s="203">
        <v>5500</v>
      </c>
      <c r="G268" s="253">
        <v>16750</v>
      </c>
      <c r="H268" s="253">
        <v>963</v>
      </c>
      <c r="I268" s="121">
        <v>16750</v>
      </c>
      <c r="J268" s="187">
        <f>SUM('Budget Req-KVFD'!E55)</f>
        <v>3000</v>
      </c>
      <c r="K268" s="121">
        <v>3000</v>
      </c>
      <c r="M268" s="96"/>
    </row>
    <row r="269" spans="1:13" s="146" customFormat="1" x14ac:dyDescent="0.25">
      <c r="A269" s="254">
        <v>590.1</v>
      </c>
      <c r="B269" s="255" t="s">
        <v>228</v>
      </c>
      <c r="C269" s="251"/>
      <c r="D269" s="251"/>
      <c r="E269" s="251"/>
      <c r="F269" s="203">
        <v>0</v>
      </c>
      <c r="G269" s="234">
        <v>0</v>
      </c>
      <c r="H269" s="234">
        <v>0</v>
      </c>
      <c r="I269" s="129">
        <v>0</v>
      </c>
      <c r="J269" s="147">
        <f>SUM('Budget Req-KVFD'!E57)</f>
        <v>5000</v>
      </c>
      <c r="K269" s="147">
        <v>5000</v>
      </c>
      <c r="M269" s="96"/>
    </row>
    <row r="270" spans="1:13" s="146" customFormat="1" ht="18.75" thickBot="1" x14ac:dyDescent="0.3">
      <c r="A270" s="270" t="s">
        <v>275</v>
      </c>
      <c r="B270" s="271"/>
      <c r="C270" s="251"/>
      <c r="D270" s="251"/>
      <c r="E270" s="251"/>
      <c r="F270" s="203">
        <f>SUM(F266:F269)</f>
        <v>23642</v>
      </c>
      <c r="G270" s="235">
        <f>SUM(G265:G269)</f>
        <v>50500</v>
      </c>
      <c r="H270" s="235">
        <f>SUM(H265:H269)</f>
        <v>162782</v>
      </c>
      <c r="I270" s="235">
        <f>SUM(I265:I269)</f>
        <v>190227</v>
      </c>
      <c r="J270" s="242">
        <f>SUM(J265:J269)</f>
        <v>41474</v>
      </c>
      <c r="K270" s="112">
        <f>SUM(K265:K269)</f>
        <v>41474</v>
      </c>
    </row>
    <row r="271" spans="1:13" x14ac:dyDescent="0.25">
      <c r="A271" s="539" t="s">
        <v>328</v>
      </c>
      <c r="B271" s="540"/>
      <c r="C271" s="272">
        <f>SUM(C219:C270)</f>
        <v>0</v>
      </c>
      <c r="D271" s="273">
        <f>SUM(D219:D270)</f>
        <v>0</v>
      </c>
      <c r="E271" s="273">
        <f>SUM(E219:E270)</f>
        <v>0</v>
      </c>
      <c r="F271" s="273">
        <f>+SUM(F236+F245+F253+F255+F259+F262+F270)</f>
        <v>70551</v>
      </c>
      <c r="G271" s="274">
        <f>+SUM(G236+G245+G253+G255+G259+G262+G264+G270)</f>
        <v>95978</v>
      </c>
      <c r="H271" s="274">
        <f>+SUM(H236+H245+H253+H255+H259+H262+H264+H270)</f>
        <v>198448</v>
      </c>
      <c r="I271" s="274">
        <f>+SUM(I236+I245+I253+I255+I259+I262+I264+I270)</f>
        <v>236917</v>
      </c>
      <c r="J271" s="274">
        <f>+SUM(J236+J245+J253+J255+J259+J262+J264+J270)</f>
        <v>97444</v>
      </c>
      <c r="K271" s="274">
        <f>+SUM(K236+K245+K253+K255+K259+K262+K264+K270)</f>
        <v>97444</v>
      </c>
      <c r="L271" s="146"/>
    </row>
    <row r="272" spans="1:13" s="146" customFormat="1" x14ac:dyDescent="0.25">
      <c r="A272" s="519"/>
      <c r="B272" s="520"/>
      <c r="C272" s="520"/>
      <c r="D272" s="520"/>
      <c r="E272" s="520"/>
      <c r="F272" s="521"/>
      <c r="G272" s="195"/>
      <c r="H272" s="173"/>
      <c r="I272" s="172"/>
      <c r="J272" s="172" t="s">
        <v>1093</v>
      </c>
      <c r="K272" s="172" t="s">
        <v>1077</v>
      </c>
      <c r="M272" s="96"/>
    </row>
    <row r="273" spans="1:13" x14ac:dyDescent="0.25">
      <c r="A273" s="103" t="s">
        <v>506</v>
      </c>
      <c r="B273" s="104"/>
      <c r="C273" s="275" t="s">
        <v>27</v>
      </c>
      <c r="D273" s="276" t="s">
        <v>30</v>
      </c>
      <c r="E273" s="276" t="s">
        <v>29</v>
      </c>
      <c r="F273" s="174" t="s">
        <v>405</v>
      </c>
      <c r="G273" s="175" t="s">
        <v>846</v>
      </c>
      <c r="H273" s="175" t="s">
        <v>855</v>
      </c>
      <c r="I273" s="196" t="s">
        <v>1090</v>
      </c>
      <c r="J273" s="175" t="s">
        <v>857</v>
      </c>
      <c r="K273" s="175" t="s">
        <v>1076</v>
      </c>
      <c r="L273" s="146"/>
    </row>
    <row r="274" spans="1:13" x14ac:dyDescent="0.25">
      <c r="A274" s="449" t="s">
        <v>229</v>
      </c>
      <c r="B274" s="471" t="s">
        <v>5</v>
      </c>
      <c r="C274" s="152">
        <v>28300</v>
      </c>
      <c r="D274" s="153">
        <v>17157</v>
      </c>
      <c r="E274" s="153">
        <v>25735</v>
      </c>
      <c r="F274" s="153">
        <v>66256</v>
      </c>
      <c r="G274" s="306">
        <f>116605+117405-116605</f>
        <v>117405</v>
      </c>
      <c r="H274" s="112">
        <v>86922</v>
      </c>
      <c r="I274" s="112">
        <f>+H274+(9600*4)</f>
        <v>125322</v>
      </c>
      <c r="J274" s="112">
        <f>SUM('Personnel Sched-Comm D'!K12)*1.02</f>
        <v>54291.743999999999</v>
      </c>
      <c r="K274" s="112">
        <v>54292</v>
      </c>
      <c r="L274" s="146"/>
    </row>
    <row r="275" spans="1:13" x14ac:dyDescent="0.25">
      <c r="A275" s="158">
        <v>510.03</v>
      </c>
      <c r="B275" s="471" t="s">
        <v>155</v>
      </c>
      <c r="C275" s="152">
        <v>2120</v>
      </c>
      <c r="D275" s="153">
        <v>1266</v>
      </c>
      <c r="E275" s="153">
        <v>1899</v>
      </c>
      <c r="F275" s="153">
        <v>1000</v>
      </c>
      <c r="G275" s="121">
        <v>2500</v>
      </c>
      <c r="H275" s="121">
        <v>1688</v>
      </c>
      <c r="I275" s="121">
        <v>2500</v>
      </c>
      <c r="J275" s="121">
        <f>SUM('Budget Req-Comm Dev'!E8)</f>
        <v>5000</v>
      </c>
      <c r="K275" s="121">
        <v>5000</v>
      </c>
      <c r="L275" s="146"/>
    </row>
    <row r="276" spans="1:13" x14ac:dyDescent="0.25">
      <c r="A276" s="158">
        <v>510.05</v>
      </c>
      <c r="B276" s="471" t="s">
        <v>194</v>
      </c>
      <c r="C276" s="152">
        <v>1500</v>
      </c>
      <c r="D276" s="153">
        <v>893</v>
      </c>
      <c r="E276" s="153">
        <v>1340</v>
      </c>
      <c r="F276" s="153">
        <v>12998</v>
      </c>
      <c r="G276" s="121">
        <v>23038</v>
      </c>
      <c r="H276" s="121">
        <v>13293</v>
      </c>
      <c r="I276" s="121">
        <v>23000</v>
      </c>
      <c r="J276" s="121">
        <f>SUM('Budget Req-Comm Dev'!E15)</f>
        <v>8595.1200800000006</v>
      </c>
      <c r="K276" s="121">
        <v>8601</v>
      </c>
      <c r="L276" s="146"/>
    </row>
    <row r="277" spans="1:13" x14ac:dyDescent="0.25">
      <c r="A277" s="158">
        <v>510.06</v>
      </c>
      <c r="B277" s="471" t="s">
        <v>19</v>
      </c>
      <c r="C277" s="152">
        <v>4000</v>
      </c>
      <c r="D277" s="153">
        <v>2734</v>
      </c>
      <c r="E277" s="153">
        <v>4100</v>
      </c>
      <c r="F277" s="153">
        <v>5068.58</v>
      </c>
      <c r="G277" s="202">
        <v>8920</v>
      </c>
      <c r="H277" s="121">
        <v>6398</v>
      </c>
      <c r="I277" s="121">
        <f>+I274*0.08</f>
        <v>10025.76</v>
      </c>
      <c r="J277" s="121">
        <f>SUM('Budget Req-Comm Dev'!E17)</f>
        <v>4071.8807999999999</v>
      </c>
      <c r="K277" s="121">
        <v>4154</v>
      </c>
      <c r="L277" s="146"/>
    </row>
    <row r="278" spans="1:13" x14ac:dyDescent="0.25">
      <c r="A278" s="158">
        <v>510.07</v>
      </c>
      <c r="B278" s="471" t="s">
        <v>158</v>
      </c>
      <c r="C278" s="152">
        <v>800</v>
      </c>
      <c r="D278" s="153">
        <v>491</v>
      </c>
      <c r="E278" s="153">
        <v>736.5</v>
      </c>
      <c r="F278" s="153">
        <v>2815.88</v>
      </c>
      <c r="G278" s="121">
        <v>5154</v>
      </c>
      <c r="H278" s="121">
        <v>3455</v>
      </c>
      <c r="I278" s="121">
        <f>+I274*0.0502</f>
        <v>6291.1644000000006</v>
      </c>
      <c r="J278" s="121">
        <f>SUM('Budget Req-Comm Dev'!E19)</f>
        <v>2672.0054399999999</v>
      </c>
      <c r="K278" s="121">
        <v>2764</v>
      </c>
      <c r="L278" s="146"/>
    </row>
    <row r="279" spans="1:13" x14ac:dyDescent="0.25">
      <c r="A279" s="158">
        <v>510.08</v>
      </c>
      <c r="B279" s="471" t="s">
        <v>326</v>
      </c>
      <c r="C279" s="152"/>
      <c r="D279" s="153"/>
      <c r="E279" s="153"/>
      <c r="F279" s="153">
        <v>404</v>
      </c>
      <c r="G279" s="121">
        <v>771</v>
      </c>
      <c r="H279" s="121">
        <v>539</v>
      </c>
      <c r="I279" s="121">
        <v>900</v>
      </c>
      <c r="J279" s="121">
        <f>SUM('Budget Req-Comm Dev'!E23)</f>
        <v>81.199999999999989</v>
      </c>
      <c r="K279" s="121">
        <v>147</v>
      </c>
      <c r="L279" s="146"/>
    </row>
    <row r="280" spans="1:13" x14ac:dyDescent="0.25">
      <c r="A280" s="158">
        <v>510.09</v>
      </c>
      <c r="B280" s="471" t="s">
        <v>690</v>
      </c>
      <c r="C280" s="152"/>
      <c r="D280" s="153"/>
      <c r="E280" s="153"/>
      <c r="F280" s="153"/>
      <c r="G280" s="121">
        <v>675</v>
      </c>
      <c r="H280" s="121">
        <v>0</v>
      </c>
      <c r="I280" s="121">
        <v>675</v>
      </c>
      <c r="J280" s="121">
        <f>+J274*0.01</f>
        <v>542.91743999999994</v>
      </c>
      <c r="K280" s="121">
        <v>543</v>
      </c>
      <c r="L280" s="146"/>
    </row>
    <row r="281" spans="1:13" x14ac:dyDescent="0.25">
      <c r="A281" s="158">
        <v>510.11</v>
      </c>
      <c r="B281" s="471" t="s">
        <v>236</v>
      </c>
      <c r="C281" s="152"/>
      <c r="D281" s="153"/>
      <c r="E281" s="153"/>
      <c r="F281" s="153">
        <v>2500</v>
      </c>
      <c r="G281" s="121">
        <v>0</v>
      </c>
      <c r="H281" s="202">
        <v>300</v>
      </c>
      <c r="I281" s="121">
        <v>300</v>
      </c>
      <c r="J281" s="121">
        <f>SUM('Budget Req-Comm Dev'!E27)</f>
        <v>0</v>
      </c>
      <c r="K281" s="121">
        <v>0</v>
      </c>
      <c r="L281" s="146"/>
    </row>
    <row r="282" spans="1:13" x14ac:dyDescent="0.25">
      <c r="A282" s="158">
        <v>510.12</v>
      </c>
      <c r="B282" s="471" t="s">
        <v>536</v>
      </c>
      <c r="C282" s="152"/>
      <c r="D282" s="153"/>
      <c r="E282" s="153"/>
      <c r="F282" s="153">
        <v>0</v>
      </c>
      <c r="G282" s="147">
        <v>2850</v>
      </c>
      <c r="H282" s="286">
        <v>0</v>
      </c>
      <c r="I282" s="147">
        <v>2850</v>
      </c>
      <c r="J282" s="147">
        <f>SUM('Budget Req-Comm Dev'!E29)</f>
        <v>750</v>
      </c>
      <c r="K282" s="147">
        <v>750</v>
      </c>
      <c r="L282" s="146"/>
    </row>
    <row r="283" spans="1:13" ht="18.75" thickBot="1" x14ac:dyDescent="0.3">
      <c r="A283" s="287" t="s">
        <v>210</v>
      </c>
      <c r="B283" s="288"/>
      <c r="C283" s="277"/>
      <c r="D283" s="278"/>
      <c r="E283" s="278"/>
      <c r="F283" s="278">
        <f t="shared" ref="F283:K283" si="31">SUM(F274:F282)</f>
        <v>91042.46</v>
      </c>
      <c r="G283" s="182">
        <f t="shared" si="31"/>
        <v>161313</v>
      </c>
      <c r="H283" s="182">
        <f t="shared" si="31"/>
        <v>112595</v>
      </c>
      <c r="I283" s="182">
        <f t="shared" si="31"/>
        <v>171863.92440000002</v>
      </c>
      <c r="J283" s="182">
        <f t="shared" si="31"/>
        <v>76004.867759999994</v>
      </c>
      <c r="K283" s="472">
        <f t="shared" si="31"/>
        <v>76251</v>
      </c>
    </row>
    <row r="284" spans="1:13" x14ac:dyDescent="0.25">
      <c r="A284" s="158">
        <v>520.01</v>
      </c>
      <c r="B284" s="159" t="s">
        <v>161</v>
      </c>
      <c r="C284" s="178">
        <v>0</v>
      </c>
      <c r="D284" s="156">
        <v>0</v>
      </c>
      <c r="E284" s="156">
        <v>0</v>
      </c>
      <c r="F284" s="156">
        <v>1000</v>
      </c>
      <c r="G284" s="202">
        <v>1200</v>
      </c>
      <c r="H284" s="202">
        <v>793</v>
      </c>
      <c r="I284" s="121">
        <v>1300</v>
      </c>
      <c r="J284" s="121">
        <f>SUM('Budget Req-Comm Dev'!E30)</f>
        <v>500</v>
      </c>
      <c r="K284" s="121">
        <v>500</v>
      </c>
      <c r="L284" s="157"/>
    </row>
    <row r="285" spans="1:13" x14ac:dyDescent="0.25">
      <c r="A285" s="158">
        <v>520.02</v>
      </c>
      <c r="B285" s="159" t="s">
        <v>196</v>
      </c>
      <c r="C285" s="178"/>
      <c r="D285" s="156"/>
      <c r="E285" s="156"/>
      <c r="F285" s="156">
        <v>400</v>
      </c>
      <c r="G285" s="202">
        <v>500</v>
      </c>
      <c r="H285" s="202">
        <v>259</v>
      </c>
      <c r="I285" s="121">
        <v>500</v>
      </c>
      <c r="J285" s="121">
        <f>SUM('Budget Req-Comm Dev'!E31)</f>
        <v>750</v>
      </c>
      <c r="K285" s="121">
        <v>750</v>
      </c>
      <c r="L285" s="157"/>
    </row>
    <row r="286" spans="1:13" x14ac:dyDescent="0.25">
      <c r="A286" s="158">
        <v>520.03</v>
      </c>
      <c r="B286" s="159" t="s">
        <v>894</v>
      </c>
      <c r="C286" s="178">
        <v>1200</v>
      </c>
      <c r="D286" s="156">
        <v>289</v>
      </c>
      <c r="E286" s="156">
        <v>434</v>
      </c>
      <c r="F286" s="156">
        <v>1000</v>
      </c>
      <c r="G286" s="202">
        <v>0</v>
      </c>
      <c r="H286" s="202">
        <v>67</v>
      </c>
      <c r="I286" s="121">
        <v>150</v>
      </c>
      <c r="J286" s="121">
        <f>SUM('Budget Req-Comm Dev'!E32)</f>
        <v>7000</v>
      </c>
      <c r="K286" s="121">
        <v>7000</v>
      </c>
    </row>
    <row r="287" spans="1:13" s="179" customFormat="1" x14ac:dyDescent="0.25">
      <c r="A287" s="158">
        <v>520.04</v>
      </c>
      <c r="B287" s="159" t="s">
        <v>197</v>
      </c>
      <c r="C287" s="178">
        <v>1200</v>
      </c>
      <c r="D287" s="156">
        <v>289</v>
      </c>
      <c r="E287" s="156">
        <v>434</v>
      </c>
      <c r="F287" s="156">
        <v>1000</v>
      </c>
      <c r="G287" s="202">
        <v>2200</v>
      </c>
      <c r="H287" s="202">
        <v>1781</v>
      </c>
      <c r="I287" s="121">
        <v>2600</v>
      </c>
      <c r="J287" s="121">
        <f>SUM('Budget Req-Comm Dev'!E36)</f>
        <v>900</v>
      </c>
      <c r="K287" s="121">
        <v>900</v>
      </c>
      <c r="L287" s="96"/>
      <c r="M287" s="96"/>
    </row>
    <row r="288" spans="1:13" x14ac:dyDescent="0.25">
      <c r="A288" s="158">
        <v>520.05999999999995</v>
      </c>
      <c r="B288" s="159" t="s">
        <v>231</v>
      </c>
      <c r="C288" s="178">
        <v>1000</v>
      </c>
      <c r="D288" s="156">
        <v>174</v>
      </c>
      <c r="E288" s="156">
        <v>261</v>
      </c>
      <c r="F288" s="156">
        <v>1800</v>
      </c>
      <c r="G288" s="202">
        <v>1200</v>
      </c>
      <c r="H288" s="202">
        <v>1300</v>
      </c>
      <c r="I288" s="121">
        <v>2100</v>
      </c>
      <c r="J288" s="121">
        <v>1100</v>
      </c>
      <c r="K288" s="121">
        <v>1100</v>
      </c>
      <c r="M288" s="157"/>
    </row>
    <row r="289" spans="1:13" x14ac:dyDescent="0.25">
      <c r="A289" s="158">
        <v>521.07000000000005</v>
      </c>
      <c r="B289" s="159" t="s">
        <v>693</v>
      </c>
      <c r="C289" s="178">
        <v>1000</v>
      </c>
      <c r="D289" s="156">
        <v>174</v>
      </c>
      <c r="E289" s="156">
        <v>261</v>
      </c>
      <c r="F289" s="156">
        <v>1800</v>
      </c>
      <c r="G289" s="202">
        <v>300</v>
      </c>
      <c r="H289" s="202">
        <v>240</v>
      </c>
      <c r="I289" s="121">
        <v>350</v>
      </c>
      <c r="J289" s="121">
        <v>200</v>
      </c>
      <c r="K289" s="121">
        <v>200</v>
      </c>
    </row>
    <row r="290" spans="1:13" x14ac:dyDescent="0.25">
      <c r="A290" s="138">
        <v>520.1</v>
      </c>
      <c r="B290" s="116" t="s">
        <v>895</v>
      </c>
      <c r="C290" s="144"/>
      <c r="D290" s="145"/>
      <c r="E290" s="145"/>
      <c r="F290" s="145">
        <v>0</v>
      </c>
      <c r="G290" s="139">
        <v>0</v>
      </c>
      <c r="H290" s="139">
        <v>11</v>
      </c>
      <c r="I290" s="120">
        <v>100</v>
      </c>
      <c r="J290" s="120">
        <v>750</v>
      </c>
      <c r="K290" s="120">
        <v>750</v>
      </c>
      <c r="M290" s="146"/>
    </row>
    <row r="291" spans="1:13" s="157" customFormat="1" x14ac:dyDescent="0.25">
      <c r="A291" s="141">
        <v>520.12</v>
      </c>
      <c r="B291" s="125" t="s">
        <v>237</v>
      </c>
      <c r="C291" s="144"/>
      <c r="D291" s="145"/>
      <c r="E291" s="145"/>
      <c r="F291" s="145"/>
      <c r="G291" s="205">
        <v>500</v>
      </c>
      <c r="H291" s="205">
        <v>0</v>
      </c>
      <c r="I291" s="129">
        <v>0</v>
      </c>
      <c r="J291" s="129">
        <v>0</v>
      </c>
      <c r="K291" s="129">
        <v>0</v>
      </c>
      <c r="L291" s="96"/>
    </row>
    <row r="292" spans="1:13" ht="18.75" thickBot="1" x14ac:dyDescent="0.3">
      <c r="A292" s="142" t="s">
        <v>230</v>
      </c>
      <c r="B292" s="148"/>
      <c r="C292" s="149"/>
      <c r="D292" s="150"/>
      <c r="E292" s="150"/>
      <c r="F292" s="150">
        <f>SUM(F284:F290)</f>
        <v>7000</v>
      </c>
      <c r="G292" s="136">
        <f>SUM(G284:G291)</f>
        <v>5900</v>
      </c>
      <c r="H292" s="136">
        <f>SUM(H284:H291)</f>
        <v>4451</v>
      </c>
      <c r="I292" s="136">
        <f>SUM(I284:I291)</f>
        <v>7100</v>
      </c>
      <c r="J292" s="136">
        <f>SUM(J284:J291)</f>
        <v>11200</v>
      </c>
      <c r="K292" s="136">
        <f>SUM(K284:K291)</f>
        <v>11200</v>
      </c>
    </row>
    <row r="293" spans="1:13" x14ac:dyDescent="0.25">
      <c r="A293" s="138">
        <v>530.01</v>
      </c>
      <c r="B293" s="116" t="s">
        <v>201</v>
      </c>
      <c r="C293" s="144">
        <v>500</v>
      </c>
      <c r="D293" s="145">
        <v>0</v>
      </c>
      <c r="E293" s="145">
        <v>0</v>
      </c>
      <c r="F293" s="145">
        <v>2300</v>
      </c>
      <c r="G293" s="139">
        <v>5100</v>
      </c>
      <c r="H293" s="139">
        <v>3514</v>
      </c>
      <c r="I293" s="120">
        <v>5500</v>
      </c>
      <c r="J293" s="120">
        <v>1833.3333333333333</v>
      </c>
      <c r="K293" s="120">
        <v>1833.3333333333333</v>
      </c>
      <c r="L293" s="146"/>
    </row>
    <row r="294" spans="1:13" x14ac:dyDescent="0.25">
      <c r="A294" s="138">
        <v>530.03</v>
      </c>
      <c r="B294" s="116" t="s">
        <v>596</v>
      </c>
      <c r="C294" s="144"/>
      <c r="D294" s="145"/>
      <c r="E294" s="145"/>
      <c r="F294" s="145">
        <v>0</v>
      </c>
      <c r="G294" s="139">
        <v>0</v>
      </c>
      <c r="H294" s="139">
        <v>71</v>
      </c>
      <c r="I294" s="120">
        <v>100</v>
      </c>
      <c r="J294" s="120">
        <v>100</v>
      </c>
      <c r="K294" s="120">
        <v>100</v>
      </c>
      <c r="L294" s="146"/>
    </row>
    <row r="295" spans="1:13" x14ac:dyDescent="0.25">
      <c r="A295" s="138">
        <v>530.04</v>
      </c>
      <c r="B295" s="116" t="s">
        <v>169</v>
      </c>
      <c r="C295" s="144"/>
      <c r="D295" s="145"/>
      <c r="E295" s="145"/>
      <c r="F295" s="145"/>
      <c r="G295" s="139">
        <v>250</v>
      </c>
      <c r="H295" s="139">
        <v>0</v>
      </c>
      <c r="I295" s="120">
        <v>250</v>
      </c>
      <c r="J295" s="120">
        <v>250</v>
      </c>
      <c r="K295" s="120">
        <v>250</v>
      </c>
      <c r="L295" s="146"/>
    </row>
    <row r="296" spans="1:13" x14ac:dyDescent="0.25">
      <c r="A296" s="138">
        <v>530.04999999999995</v>
      </c>
      <c r="B296" s="116" t="s">
        <v>20</v>
      </c>
      <c r="C296" s="144">
        <v>500</v>
      </c>
      <c r="D296" s="145">
        <v>0</v>
      </c>
      <c r="E296" s="145">
        <v>0</v>
      </c>
      <c r="F296" s="145">
        <v>300</v>
      </c>
      <c r="G296" s="139">
        <v>2000</v>
      </c>
      <c r="H296" s="139">
        <v>269</v>
      </c>
      <c r="I296" s="120">
        <v>2000</v>
      </c>
      <c r="J296" s="120">
        <f>SUM('Budget Req-Comm Dev'!E42)</f>
        <v>4500</v>
      </c>
      <c r="K296" s="120">
        <v>4500</v>
      </c>
      <c r="L296" s="146"/>
    </row>
    <row r="297" spans="1:13" x14ac:dyDescent="0.25">
      <c r="A297" s="138">
        <v>530.05999999999995</v>
      </c>
      <c r="B297" s="116" t="s">
        <v>267</v>
      </c>
      <c r="C297" s="144"/>
      <c r="D297" s="145"/>
      <c r="E297" s="145"/>
      <c r="F297" s="145">
        <v>0</v>
      </c>
      <c r="G297" s="139">
        <v>400</v>
      </c>
      <c r="H297" s="139">
        <v>0</v>
      </c>
      <c r="I297" s="120">
        <v>400</v>
      </c>
      <c r="J297" s="120">
        <v>400</v>
      </c>
      <c r="K297" s="120">
        <v>400</v>
      </c>
      <c r="L297" s="146"/>
    </row>
    <row r="298" spans="1:13" x14ac:dyDescent="0.25">
      <c r="A298" s="138">
        <v>530.11</v>
      </c>
      <c r="B298" s="116" t="s">
        <v>2</v>
      </c>
      <c r="C298" s="144"/>
      <c r="D298" s="145"/>
      <c r="E298" s="145"/>
      <c r="F298" s="145"/>
      <c r="G298" s="139">
        <v>500</v>
      </c>
      <c r="H298" s="139">
        <v>118</v>
      </c>
      <c r="I298" s="120">
        <v>500</v>
      </c>
      <c r="J298" s="120">
        <v>500</v>
      </c>
      <c r="K298" s="120">
        <v>500</v>
      </c>
    </row>
    <row r="299" spans="1:13" x14ac:dyDescent="0.25">
      <c r="A299" s="138">
        <v>530.13</v>
      </c>
      <c r="B299" s="116" t="s">
        <v>172</v>
      </c>
      <c r="C299" s="144"/>
      <c r="D299" s="145"/>
      <c r="E299" s="145"/>
      <c r="F299" s="145"/>
      <c r="G299" s="139">
        <v>7500</v>
      </c>
      <c r="H299" s="139">
        <v>4325</v>
      </c>
      <c r="I299" s="120">
        <v>7500</v>
      </c>
      <c r="J299" s="120">
        <v>7500</v>
      </c>
      <c r="K299" s="120">
        <v>7500</v>
      </c>
    </row>
    <row r="300" spans="1:13" x14ac:dyDescent="0.25">
      <c r="A300" s="141">
        <v>530.15</v>
      </c>
      <c r="B300" s="125" t="s">
        <v>875</v>
      </c>
      <c r="C300" s="144">
        <v>1500</v>
      </c>
      <c r="D300" s="145">
        <v>306</v>
      </c>
      <c r="E300" s="145">
        <v>460</v>
      </c>
      <c r="F300" s="145">
        <v>44000</v>
      </c>
      <c r="G300" s="205">
        <v>12000</v>
      </c>
      <c r="H300" s="205">
        <v>7631</v>
      </c>
      <c r="I300" s="129">
        <f>+H300+4355</f>
        <v>11986</v>
      </c>
      <c r="J300" s="129">
        <v>0</v>
      </c>
      <c r="K300" s="129">
        <v>0</v>
      </c>
      <c r="L300" s="146"/>
    </row>
    <row r="301" spans="1:13" s="179" customFormat="1" ht="18.75" thickBot="1" x14ac:dyDescent="0.3">
      <c r="A301" s="142" t="s">
        <v>167</v>
      </c>
      <c r="B301" s="148"/>
      <c r="C301" s="149"/>
      <c r="D301" s="150"/>
      <c r="E301" s="150"/>
      <c r="F301" s="150">
        <f t="shared" ref="F301:K301" si="32">SUM(F293:F300)</f>
        <v>46600</v>
      </c>
      <c r="G301" s="136">
        <f t="shared" si="32"/>
        <v>27750</v>
      </c>
      <c r="H301" s="136">
        <f t="shared" si="32"/>
        <v>15928</v>
      </c>
      <c r="I301" s="136">
        <f t="shared" si="32"/>
        <v>28236</v>
      </c>
      <c r="J301" s="136">
        <f t="shared" si="32"/>
        <v>15083.333333333332</v>
      </c>
      <c r="K301" s="136">
        <f t="shared" si="32"/>
        <v>15083.333333333332</v>
      </c>
      <c r="L301" s="96"/>
    </row>
    <row r="302" spans="1:13" x14ac:dyDescent="0.25">
      <c r="A302" s="141">
        <v>540.07000000000005</v>
      </c>
      <c r="B302" s="125" t="s">
        <v>232</v>
      </c>
      <c r="C302" s="144">
        <v>0</v>
      </c>
      <c r="D302" s="145">
        <v>0</v>
      </c>
      <c r="E302" s="145">
        <v>0</v>
      </c>
      <c r="F302" s="145">
        <v>20000</v>
      </c>
      <c r="G302" s="205">
        <v>10000</v>
      </c>
      <c r="H302" s="205">
        <v>2350</v>
      </c>
      <c r="I302" s="129">
        <v>10000</v>
      </c>
      <c r="J302" s="129">
        <f>SUM('Budget Req-Comm Dev'!E49)</f>
        <v>60000</v>
      </c>
      <c r="K302" s="129">
        <v>60000</v>
      </c>
    </row>
    <row r="303" spans="1:13" ht="18.75" thickBot="1" x14ac:dyDescent="0.3">
      <c r="A303" s="142" t="s">
        <v>215</v>
      </c>
      <c r="B303" s="148"/>
      <c r="C303" s="149"/>
      <c r="D303" s="150"/>
      <c r="E303" s="150"/>
      <c r="F303" s="150">
        <f t="shared" ref="F303:K303" si="33">SUM(F302)</f>
        <v>20000</v>
      </c>
      <c r="G303" s="136">
        <f t="shared" si="33"/>
        <v>10000</v>
      </c>
      <c r="H303" s="136">
        <f t="shared" si="33"/>
        <v>2350</v>
      </c>
      <c r="I303" s="136">
        <f t="shared" si="33"/>
        <v>10000</v>
      </c>
      <c r="J303" s="136">
        <f t="shared" si="33"/>
        <v>60000</v>
      </c>
      <c r="K303" s="136">
        <f t="shared" si="33"/>
        <v>60000</v>
      </c>
    </row>
    <row r="304" spans="1:13" s="157" customFormat="1" x14ac:dyDescent="0.25">
      <c r="A304" s="138">
        <v>550.01</v>
      </c>
      <c r="B304" s="116" t="s">
        <v>203</v>
      </c>
      <c r="C304" s="144">
        <v>1800</v>
      </c>
      <c r="D304" s="145">
        <v>487</v>
      </c>
      <c r="E304" s="145">
        <v>731</v>
      </c>
      <c r="F304" s="145">
        <v>250</v>
      </c>
      <c r="G304" s="120">
        <v>250</v>
      </c>
      <c r="H304" s="139">
        <v>0</v>
      </c>
      <c r="I304" s="120">
        <v>250</v>
      </c>
      <c r="J304" s="121">
        <v>250</v>
      </c>
      <c r="K304" s="120">
        <v>250</v>
      </c>
      <c r="L304" s="96"/>
      <c r="M304" s="179"/>
    </row>
    <row r="305" spans="1:12" x14ac:dyDescent="0.25">
      <c r="A305" s="138">
        <v>550.03</v>
      </c>
      <c r="B305" s="116" t="s">
        <v>896</v>
      </c>
      <c r="C305" s="178">
        <v>3000</v>
      </c>
      <c r="D305" s="145">
        <v>1997</v>
      </c>
      <c r="E305" s="145">
        <v>2995</v>
      </c>
      <c r="F305" s="156">
        <v>500</v>
      </c>
      <c r="G305" s="121">
        <v>0</v>
      </c>
      <c r="H305" s="139">
        <v>200</v>
      </c>
      <c r="I305" s="121">
        <v>200</v>
      </c>
      <c r="J305" s="120">
        <v>0</v>
      </c>
      <c r="K305" s="120">
        <v>0</v>
      </c>
    </row>
    <row r="306" spans="1:12" x14ac:dyDescent="0.25">
      <c r="A306" s="141">
        <v>551.04</v>
      </c>
      <c r="B306" s="125" t="s">
        <v>205</v>
      </c>
      <c r="C306" s="178">
        <v>3000</v>
      </c>
      <c r="D306" s="145">
        <v>1997</v>
      </c>
      <c r="E306" s="145">
        <v>2995</v>
      </c>
      <c r="F306" s="156">
        <v>500</v>
      </c>
      <c r="G306" s="147">
        <v>750</v>
      </c>
      <c r="H306" s="205">
        <v>662</v>
      </c>
      <c r="I306" s="147">
        <v>750</v>
      </c>
      <c r="J306" s="129">
        <v>900</v>
      </c>
      <c r="K306" s="129">
        <v>900</v>
      </c>
    </row>
    <row r="307" spans="1:12" s="179" customFormat="1" ht="18.75" thickBot="1" x14ac:dyDescent="0.3">
      <c r="A307" s="142" t="s">
        <v>233</v>
      </c>
      <c r="B307" s="148"/>
      <c r="C307" s="277"/>
      <c r="D307" s="150"/>
      <c r="E307" s="150"/>
      <c r="F307" s="278">
        <f>SUM(F304:F305)</f>
        <v>750</v>
      </c>
      <c r="G307" s="182">
        <f>SUM(G304:G306)</f>
        <v>1000</v>
      </c>
      <c r="H307" s="182">
        <f t="shared" ref="H307:J307" si="34">SUM(H304:H306)</f>
        <v>862</v>
      </c>
      <c r="I307" s="182">
        <f t="shared" si="34"/>
        <v>1200</v>
      </c>
      <c r="J307" s="182">
        <f t="shared" si="34"/>
        <v>1150</v>
      </c>
      <c r="K307" s="136">
        <f>SUM(K304:K306)</f>
        <v>1150</v>
      </c>
      <c r="L307" s="96"/>
    </row>
    <row r="308" spans="1:12" x14ac:dyDescent="0.25">
      <c r="A308" s="138">
        <v>560.02</v>
      </c>
      <c r="B308" s="116" t="s">
        <v>179</v>
      </c>
      <c r="C308" s="178"/>
      <c r="D308" s="145"/>
      <c r="E308" s="145"/>
      <c r="F308" s="156">
        <v>100</v>
      </c>
      <c r="G308" s="139">
        <v>500</v>
      </c>
      <c r="H308" s="139">
        <v>500</v>
      </c>
      <c r="I308" s="120">
        <v>500</v>
      </c>
      <c r="J308" s="120">
        <f>SUM('Budget Req-Comm Dev'!E57)</f>
        <v>445</v>
      </c>
      <c r="K308" s="120">
        <v>445</v>
      </c>
    </row>
    <row r="309" spans="1:12" x14ac:dyDescent="0.25">
      <c r="A309" s="141">
        <v>560.1</v>
      </c>
      <c r="B309" s="125" t="s">
        <v>180</v>
      </c>
      <c r="C309" s="178"/>
      <c r="D309" s="145"/>
      <c r="E309" s="145"/>
      <c r="F309" s="156">
        <v>200</v>
      </c>
      <c r="G309" s="205">
        <v>500</v>
      </c>
      <c r="H309" s="205">
        <v>255</v>
      </c>
      <c r="I309" s="129">
        <v>500</v>
      </c>
      <c r="J309" s="129">
        <f>SUM('Budget Req-Comm Dev'!E59)</f>
        <v>750</v>
      </c>
      <c r="K309" s="129">
        <v>750</v>
      </c>
    </row>
    <row r="310" spans="1:12" s="157" customFormat="1" ht="18.75" thickBot="1" x14ac:dyDescent="0.3">
      <c r="A310" s="132" t="s">
        <v>178</v>
      </c>
      <c r="B310" s="148"/>
      <c r="C310" s="149"/>
      <c r="D310" s="279"/>
      <c r="E310" s="279"/>
      <c r="F310" s="150">
        <f>SUM(F308:F309)</f>
        <v>300</v>
      </c>
      <c r="G310" s="136">
        <f>SUM(G308:G309)</f>
        <v>1000</v>
      </c>
      <c r="H310" s="136">
        <f>SUM(H308:H309)</f>
        <v>755</v>
      </c>
      <c r="I310" s="136">
        <f>SUM(I308:I309)</f>
        <v>1000</v>
      </c>
      <c r="J310" s="136">
        <f>SUM(J308:J309)</f>
        <v>1195</v>
      </c>
      <c r="K310" s="136">
        <v>1195</v>
      </c>
      <c r="L310" s="96"/>
    </row>
    <row r="311" spans="1:12" x14ac:dyDescent="0.25">
      <c r="A311" s="125">
        <v>580.01</v>
      </c>
      <c r="B311" s="125" t="s">
        <v>805</v>
      </c>
      <c r="C311" s="144"/>
      <c r="D311" s="194"/>
      <c r="E311" s="194"/>
      <c r="F311" s="145"/>
      <c r="G311" s="129">
        <v>0</v>
      </c>
      <c r="H311" s="129">
        <v>1795</v>
      </c>
      <c r="I311" s="129">
        <v>2000</v>
      </c>
      <c r="J311" s="147">
        <v>0</v>
      </c>
      <c r="K311" s="129">
        <v>0</v>
      </c>
    </row>
    <row r="312" spans="1:12" ht="18.75" thickBot="1" x14ac:dyDescent="0.3">
      <c r="A312" s="236" t="s">
        <v>806</v>
      </c>
      <c r="B312" s="237"/>
      <c r="C312" s="150"/>
      <c r="D312" s="279"/>
      <c r="E312" s="279"/>
      <c r="F312" s="150"/>
      <c r="G312" s="113">
        <f>SUM(G311)</f>
        <v>0</v>
      </c>
      <c r="H312" s="113">
        <f>SUM(H311)</f>
        <v>1795</v>
      </c>
      <c r="I312" s="113">
        <f>SUM(I311)</f>
        <v>2000</v>
      </c>
      <c r="J312" s="112">
        <f>SUM(J311)</f>
        <v>0</v>
      </c>
      <c r="K312" s="113">
        <f>SUM(K311)</f>
        <v>0</v>
      </c>
    </row>
    <row r="313" spans="1:12" s="146" customFormat="1" x14ac:dyDescent="0.25">
      <c r="A313" s="108">
        <v>590.01</v>
      </c>
      <c r="B313" s="108" t="s">
        <v>203</v>
      </c>
      <c r="C313" s="144"/>
      <c r="D313" s="194"/>
      <c r="E313" s="194"/>
      <c r="F313" s="145">
        <v>2600</v>
      </c>
      <c r="G313" s="113">
        <v>500</v>
      </c>
      <c r="H313" s="113">
        <v>0</v>
      </c>
      <c r="I313" s="113">
        <v>500</v>
      </c>
      <c r="J313" s="112">
        <v>0</v>
      </c>
      <c r="K313" s="113">
        <v>0</v>
      </c>
      <c r="L313" s="96"/>
    </row>
    <row r="314" spans="1:12" x14ac:dyDescent="0.25">
      <c r="A314" s="116">
        <v>590.02</v>
      </c>
      <c r="B314" s="116" t="s">
        <v>597</v>
      </c>
      <c r="C314" s="144"/>
      <c r="D314" s="194"/>
      <c r="E314" s="194"/>
      <c r="F314" s="145"/>
      <c r="G314" s="120">
        <v>1500</v>
      </c>
      <c r="H314" s="120">
        <v>1172</v>
      </c>
      <c r="I314" s="120">
        <v>1500</v>
      </c>
      <c r="J314" s="120">
        <f>SUM('Budget Req-Comm Dev'!E64)</f>
        <v>0</v>
      </c>
      <c r="K314" s="120">
        <v>0</v>
      </c>
    </row>
    <row r="315" spans="1:12" x14ac:dyDescent="0.25">
      <c r="A315" s="116">
        <v>590.03</v>
      </c>
      <c r="B315" s="116" t="s">
        <v>499</v>
      </c>
      <c r="C315" s="144"/>
      <c r="D315" s="194"/>
      <c r="E315" s="194"/>
      <c r="F315" s="145"/>
      <c r="G315" s="120">
        <v>8220</v>
      </c>
      <c r="H315" s="120">
        <v>8219</v>
      </c>
      <c r="I315" s="120">
        <v>8220</v>
      </c>
      <c r="J315" s="120">
        <v>0</v>
      </c>
      <c r="K315" s="120">
        <v>0</v>
      </c>
      <c r="L315" s="180"/>
    </row>
    <row r="316" spans="1:12" x14ac:dyDescent="0.25">
      <c r="A316" s="285">
        <v>590.04</v>
      </c>
      <c r="B316" s="285" t="s">
        <v>205</v>
      </c>
      <c r="C316" s="178"/>
      <c r="D316" s="473"/>
      <c r="E316" s="473"/>
      <c r="F316" s="156">
        <v>10000</v>
      </c>
      <c r="G316" s="147">
        <v>6881</v>
      </c>
      <c r="H316" s="147">
        <v>4995</v>
      </c>
      <c r="I316" s="147">
        <v>6881</v>
      </c>
      <c r="J316" s="147">
        <v>0</v>
      </c>
      <c r="K316" s="147">
        <v>0</v>
      </c>
      <c r="L316" s="180"/>
    </row>
    <row r="317" spans="1:12" ht="18.75" thickBot="1" x14ac:dyDescent="0.3">
      <c r="A317" s="291" t="s">
        <v>274</v>
      </c>
      <c r="B317" s="292"/>
      <c r="C317" s="178"/>
      <c r="D317" s="473"/>
      <c r="E317" s="473"/>
      <c r="F317" s="156">
        <f t="shared" ref="F317:K317" si="35">SUM(F313:F316)</f>
        <v>12600</v>
      </c>
      <c r="G317" s="112">
        <f t="shared" si="35"/>
        <v>17101</v>
      </c>
      <c r="H317" s="112">
        <f t="shared" si="35"/>
        <v>14386</v>
      </c>
      <c r="I317" s="112">
        <f t="shared" si="35"/>
        <v>17101</v>
      </c>
      <c r="J317" s="112">
        <f t="shared" si="35"/>
        <v>0</v>
      </c>
      <c r="K317" s="112">
        <f t="shared" si="35"/>
        <v>0</v>
      </c>
    </row>
    <row r="318" spans="1:12" x14ac:dyDescent="0.25">
      <c r="A318" s="474" t="s">
        <v>509</v>
      </c>
      <c r="B318" s="475"/>
      <c r="C318" s="476">
        <f>SUM(C274:C310)</f>
        <v>51420</v>
      </c>
      <c r="D318" s="477">
        <f>SUM(D274:D310)</f>
        <v>28254</v>
      </c>
      <c r="E318" s="477">
        <f>SUM(E274:E310)</f>
        <v>42381.5</v>
      </c>
      <c r="F318" s="477">
        <f>SUM(F283+F292+F301+F303+F307+F310+F317)</f>
        <v>178292.46000000002</v>
      </c>
      <c r="G318" s="478">
        <f>SUM(G283+G292+G301+G303+G307+G310+G312+G317)</f>
        <v>224064</v>
      </c>
      <c r="H318" s="478">
        <f>SUM(H283+H292+H301+H303+H307+H310+H312+H317)</f>
        <v>153122</v>
      </c>
      <c r="I318" s="478">
        <f>SUM(I283+I292+I301+I303+I307+I310+I312+I317)</f>
        <v>238500.92440000002</v>
      </c>
      <c r="J318" s="478">
        <f>SUM(J283+J292+J301+J303+J307+J310+J312+J317)</f>
        <v>164633.20109333331</v>
      </c>
      <c r="K318" s="478">
        <f>SUM(K283+K292+K301+K303+K307+K310+K312+K317)</f>
        <v>164879.33333333331</v>
      </c>
    </row>
    <row r="319" spans="1:12" x14ac:dyDescent="0.25">
      <c r="A319" s="519"/>
      <c r="B319" s="536"/>
      <c r="C319" s="536"/>
      <c r="D319" s="536"/>
      <c r="E319" s="536"/>
      <c r="F319" s="518"/>
      <c r="G319" s="99"/>
      <c r="H319" s="100"/>
      <c r="I319" s="101" t="str">
        <f>+I2</f>
        <v xml:space="preserve"> Estimated</v>
      </c>
      <c r="J319" s="101" t="s">
        <v>1093</v>
      </c>
      <c r="K319" s="101" t="s">
        <v>1077</v>
      </c>
      <c r="L319" s="146"/>
    </row>
    <row r="320" spans="1:12" x14ac:dyDescent="0.25">
      <c r="A320" s="103" t="s">
        <v>234</v>
      </c>
      <c r="B320" s="104"/>
      <c r="C320" s="104" t="s">
        <v>27</v>
      </c>
      <c r="D320" s="104" t="s">
        <v>30</v>
      </c>
      <c r="E320" s="104" t="s">
        <v>29</v>
      </c>
      <c r="F320" s="174" t="s">
        <v>405</v>
      </c>
      <c r="G320" s="105" t="str">
        <f>+G3</f>
        <v>Budget 2016-17</v>
      </c>
      <c r="H320" s="105" t="str">
        <f>+H3</f>
        <v>Actual 5/31/17</v>
      </c>
      <c r="I320" s="106">
        <f>+I3</f>
        <v>43008</v>
      </c>
      <c r="J320" s="105" t="str">
        <f>+J3</f>
        <v>Budget 2017-18</v>
      </c>
      <c r="K320" s="105" t="s">
        <v>1076</v>
      </c>
      <c r="L320" s="157"/>
    </row>
    <row r="321" spans="1:13" s="146" customFormat="1" x14ac:dyDescent="0.25">
      <c r="A321" s="449" t="s">
        <v>235</v>
      </c>
      <c r="B321" s="439" t="s">
        <v>5</v>
      </c>
      <c r="C321" s="281"/>
      <c r="D321" s="281"/>
      <c r="E321" s="281"/>
      <c r="F321" s="282">
        <v>112530</v>
      </c>
      <c r="G321" s="358">
        <v>169174</v>
      </c>
      <c r="H321" s="358">
        <v>123993</v>
      </c>
      <c r="I321" s="112">
        <f>+H321+(14423*4)</f>
        <v>181685</v>
      </c>
      <c r="J321" s="112">
        <f>SUM('Personnel Sched-Street'!K23+'Budget Req-Street'!E9)*1.02</f>
        <v>147050.90099999995</v>
      </c>
      <c r="K321" s="112">
        <v>166375</v>
      </c>
      <c r="L321" s="96"/>
    </row>
    <row r="322" spans="1:13" s="146" customFormat="1" x14ac:dyDescent="0.25">
      <c r="A322" s="158">
        <v>510.03</v>
      </c>
      <c r="B322" s="159" t="s">
        <v>155</v>
      </c>
      <c r="C322" s="281"/>
      <c r="D322" s="281"/>
      <c r="E322" s="281"/>
      <c r="F322" s="282">
        <v>300</v>
      </c>
      <c r="G322" s="268">
        <v>0</v>
      </c>
      <c r="H322" s="268">
        <v>1950</v>
      </c>
      <c r="I322" s="268">
        <v>1950</v>
      </c>
      <c r="J322" s="121">
        <f>SUM('Budget Req-Street'!E11)</f>
        <v>20000</v>
      </c>
      <c r="K322" s="121">
        <v>20000</v>
      </c>
      <c r="M322" s="96"/>
    </row>
    <row r="323" spans="1:13" s="179" customFormat="1" x14ac:dyDescent="0.25">
      <c r="A323" s="158">
        <v>510.05</v>
      </c>
      <c r="B323" s="159" t="s">
        <v>194</v>
      </c>
      <c r="C323" s="281"/>
      <c r="D323" s="281"/>
      <c r="E323" s="281"/>
      <c r="F323" s="282">
        <v>25996</v>
      </c>
      <c r="G323" s="268">
        <v>30728</v>
      </c>
      <c r="H323" s="268">
        <v>17283</v>
      </c>
      <c r="I323" s="121">
        <v>30728</v>
      </c>
      <c r="J323" s="121">
        <f>SUM('Budget Req-Street'!E18)</f>
        <v>34040</v>
      </c>
      <c r="K323" s="121">
        <v>34115</v>
      </c>
      <c r="L323" s="96"/>
      <c r="M323" s="96"/>
    </row>
    <row r="324" spans="1:13" x14ac:dyDescent="0.25">
      <c r="A324" s="158">
        <v>510.06</v>
      </c>
      <c r="B324" s="159" t="s">
        <v>19</v>
      </c>
      <c r="C324" s="178">
        <v>11135</v>
      </c>
      <c r="D324" s="156">
        <v>7565</v>
      </c>
      <c r="E324" s="178">
        <v>11350</v>
      </c>
      <c r="F324" s="156">
        <v>8608.5499999999993</v>
      </c>
      <c r="G324" s="202">
        <v>12873</v>
      </c>
      <c r="H324" s="202">
        <v>9246</v>
      </c>
      <c r="I324" s="121">
        <f>+I321*0.08</f>
        <v>14534.800000000001</v>
      </c>
      <c r="J324" s="121">
        <f>SUM('Budget Req-Street'!E20)</f>
        <v>10959.958394999998</v>
      </c>
      <c r="K324" s="121">
        <v>12728</v>
      </c>
    </row>
    <row r="325" spans="1:13" x14ac:dyDescent="0.25">
      <c r="A325" s="158">
        <v>510.07</v>
      </c>
      <c r="B325" s="159" t="s">
        <v>158</v>
      </c>
      <c r="C325" s="178">
        <v>2500</v>
      </c>
      <c r="D325" s="156">
        <v>1791</v>
      </c>
      <c r="E325" s="178">
        <v>2700</v>
      </c>
      <c r="F325" s="156">
        <v>4782.53</v>
      </c>
      <c r="G325" s="202">
        <v>8565</v>
      </c>
      <c r="H325" s="202">
        <v>4870</v>
      </c>
      <c r="I325" s="121">
        <f>+I321*0.0502</f>
        <v>9120.5869999999995</v>
      </c>
      <c r="J325" s="121">
        <f>SUM('Budget Req-Street'!E22)</f>
        <v>7192.0249859999985</v>
      </c>
      <c r="K325" s="121">
        <v>8469</v>
      </c>
    </row>
    <row r="326" spans="1:13" x14ac:dyDescent="0.25">
      <c r="A326" s="158">
        <v>510.08</v>
      </c>
      <c r="B326" s="159" t="s">
        <v>326</v>
      </c>
      <c r="C326" s="178"/>
      <c r="D326" s="178"/>
      <c r="E326" s="178"/>
      <c r="F326" s="156">
        <v>7112</v>
      </c>
      <c r="G326" s="121">
        <v>10635</v>
      </c>
      <c r="H326" s="121">
        <v>7738</v>
      </c>
      <c r="I326" s="121">
        <v>11700</v>
      </c>
      <c r="J326" s="121">
        <f>SUM('Budget Req-Street'!E24)</f>
        <v>10431.154999999999</v>
      </c>
      <c r="K326" s="121">
        <v>10515</v>
      </c>
    </row>
    <row r="327" spans="1:13" x14ac:dyDescent="0.25">
      <c r="A327" s="158">
        <v>510.09</v>
      </c>
      <c r="B327" s="159" t="s">
        <v>690</v>
      </c>
      <c r="C327" s="178"/>
      <c r="D327" s="178"/>
      <c r="E327" s="178"/>
      <c r="F327" s="156"/>
      <c r="G327" s="121">
        <v>1622</v>
      </c>
      <c r="H327" s="121">
        <v>0</v>
      </c>
      <c r="I327" s="121">
        <v>1622</v>
      </c>
      <c r="J327" s="121">
        <f>SUM('Budget Req-Street'!E26)+(J321*0.01)</f>
        <v>3092.5090099999998</v>
      </c>
      <c r="K327" s="121">
        <v>1664</v>
      </c>
      <c r="M327" s="157"/>
    </row>
    <row r="328" spans="1:13" x14ac:dyDescent="0.25">
      <c r="A328" s="158">
        <v>510.11</v>
      </c>
      <c r="B328" s="159" t="s">
        <v>236</v>
      </c>
      <c r="C328" s="178">
        <v>2000</v>
      </c>
      <c r="D328" s="178">
        <v>105</v>
      </c>
      <c r="E328" s="178">
        <v>300</v>
      </c>
      <c r="F328" s="156">
        <v>7500</v>
      </c>
      <c r="G328" s="121">
        <v>0</v>
      </c>
      <c r="H328" s="121">
        <v>400</v>
      </c>
      <c r="I328" s="121">
        <v>400</v>
      </c>
      <c r="J328" s="121">
        <f>SUM('Budget Req-Street'!E28)</f>
        <v>0</v>
      </c>
      <c r="K328" s="121">
        <v>0</v>
      </c>
    </row>
    <row r="329" spans="1:13" x14ac:dyDescent="0.25">
      <c r="A329" s="284">
        <v>510.12</v>
      </c>
      <c r="B329" s="285" t="s">
        <v>536</v>
      </c>
      <c r="C329" s="178"/>
      <c r="D329" s="178"/>
      <c r="E329" s="178"/>
      <c r="F329" s="156">
        <v>0</v>
      </c>
      <c r="G329" s="147">
        <v>3900</v>
      </c>
      <c r="H329" s="147">
        <v>0</v>
      </c>
      <c r="I329" s="147">
        <v>3900</v>
      </c>
      <c r="J329" s="147">
        <f>SUM('Budget Req-Street'!E30)</f>
        <v>3300</v>
      </c>
      <c r="K329" s="147">
        <v>3600</v>
      </c>
      <c r="L329" s="180"/>
    </row>
    <row r="330" spans="1:13" s="157" customFormat="1" ht="18.75" thickBot="1" x14ac:dyDescent="0.3">
      <c r="A330" s="479" t="s">
        <v>210</v>
      </c>
      <c r="B330" s="480"/>
      <c r="C330" s="481"/>
      <c r="D330" s="481"/>
      <c r="E330" s="481"/>
      <c r="F330" s="482">
        <f t="shared" ref="F330:K330" si="36">SUM(F321:F329)</f>
        <v>166829.07999999999</v>
      </c>
      <c r="G330" s="483">
        <f t="shared" si="36"/>
        <v>237497</v>
      </c>
      <c r="H330" s="483">
        <f t="shared" si="36"/>
        <v>165480</v>
      </c>
      <c r="I330" s="483">
        <f t="shared" si="36"/>
        <v>255640.38699999999</v>
      </c>
      <c r="J330" s="483">
        <f t="shared" si="36"/>
        <v>236066.54839099996</v>
      </c>
      <c r="K330" s="483">
        <f t="shared" si="36"/>
        <v>257466</v>
      </c>
      <c r="L330" s="180"/>
      <c r="M330" s="96"/>
    </row>
    <row r="331" spans="1:13" x14ac:dyDescent="0.25">
      <c r="A331" s="158">
        <v>520.01</v>
      </c>
      <c r="B331" s="159" t="s">
        <v>161</v>
      </c>
      <c r="C331" s="178">
        <v>1100</v>
      </c>
      <c r="D331" s="178">
        <v>477</v>
      </c>
      <c r="E331" s="178">
        <v>715</v>
      </c>
      <c r="F331" s="156">
        <v>400</v>
      </c>
      <c r="G331" s="121">
        <v>275</v>
      </c>
      <c r="H331" s="121">
        <v>374</v>
      </c>
      <c r="I331" s="121">
        <v>400</v>
      </c>
      <c r="J331" s="121">
        <v>400</v>
      </c>
      <c r="K331" s="121">
        <v>400</v>
      </c>
      <c r="L331" s="180"/>
    </row>
    <row r="332" spans="1:13" x14ac:dyDescent="0.25">
      <c r="A332" s="158">
        <v>520.02</v>
      </c>
      <c r="B332" s="159" t="s">
        <v>196</v>
      </c>
      <c r="C332" s="178"/>
      <c r="D332" s="178"/>
      <c r="E332" s="178"/>
      <c r="F332" s="156"/>
      <c r="G332" s="121">
        <v>200</v>
      </c>
      <c r="H332" s="121">
        <v>90</v>
      </c>
      <c r="I332" s="121">
        <v>200</v>
      </c>
      <c r="J332" s="120">
        <v>200</v>
      </c>
      <c r="K332" s="120">
        <v>200</v>
      </c>
      <c r="L332" s="180"/>
    </row>
    <row r="333" spans="1:13" x14ac:dyDescent="0.25">
      <c r="A333" s="158">
        <v>520.03</v>
      </c>
      <c r="B333" s="159" t="s">
        <v>894</v>
      </c>
      <c r="C333" s="178"/>
      <c r="D333" s="178"/>
      <c r="E333" s="178"/>
      <c r="F333" s="156"/>
      <c r="G333" s="121">
        <v>0</v>
      </c>
      <c r="H333" s="121">
        <v>90</v>
      </c>
      <c r="I333" s="121">
        <v>180</v>
      </c>
      <c r="J333" s="120">
        <v>150</v>
      </c>
      <c r="K333" s="120">
        <v>150</v>
      </c>
      <c r="L333" s="180"/>
    </row>
    <row r="334" spans="1:13" x14ac:dyDescent="0.25">
      <c r="A334" s="158">
        <v>520.04</v>
      </c>
      <c r="B334" s="159" t="s">
        <v>197</v>
      </c>
      <c r="C334" s="178">
        <v>8000</v>
      </c>
      <c r="D334" s="178">
        <v>5262</v>
      </c>
      <c r="E334" s="178">
        <v>7900</v>
      </c>
      <c r="F334" s="156">
        <v>3300</v>
      </c>
      <c r="G334" s="121">
        <v>6500</v>
      </c>
      <c r="H334" s="121">
        <v>4535</v>
      </c>
      <c r="I334" s="120">
        <v>6500</v>
      </c>
      <c r="J334" s="120">
        <v>6500</v>
      </c>
      <c r="K334" s="120">
        <v>6500</v>
      </c>
      <c r="L334" s="180"/>
    </row>
    <row r="335" spans="1:13" x14ac:dyDescent="0.25">
      <c r="A335" s="158">
        <v>520.05999999999995</v>
      </c>
      <c r="B335" s="159" t="s">
        <v>231</v>
      </c>
      <c r="C335" s="178">
        <v>25000</v>
      </c>
      <c r="D335" s="178">
        <v>14790</v>
      </c>
      <c r="E335" s="178">
        <v>22190</v>
      </c>
      <c r="F335" s="156">
        <v>10500</v>
      </c>
      <c r="G335" s="121">
        <v>4800</v>
      </c>
      <c r="H335" s="202">
        <v>3608</v>
      </c>
      <c r="I335" s="121">
        <v>5600</v>
      </c>
      <c r="J335" s="120">
        <v>5000</v>
      </c>
      <c r="K335" s="120">
        <v>5000</v>
      </c>
      <c r="L335" s="180"/>
    </row>
    <row r="336" spans="1:13" x14ac:dyDescent="0.25">
      <c r="A336" s="158">
        <v>520.07000000000005</v>
      </c>
      <c r="B336" s="159" t="s">
        <v>211</v>
      </c>
      <c r="C336" s="178">
        <v>10000</v>
      </c>
      <c r="D336" s="156">
        <v>2949</v>
      </c>
      <c r="E336" s="178">
        <v>4450</v>
      </c>
      <c r="F336" s="156">
        <v>750</v>
      </c>
      <c r="G336" s="202">
        <v>2000</v>
      </c>
      <c r="H336" s="202">
        <v>849</v>
      </c>
      <c r="I336" s="121">
        <v>2000</v>
      </c>
      <c r="J336" s="120">
        <v>2000</v>
      </c>
      <c r="K336" s="120">
        <v>2000</v>
      </c>
      <c r="L336" s="180"/>
    </row>
    <row r="337" spans="1:13" x14ac:dyDescent="0.25">
      <c r="A337" s="158">
        <v>520.08000000000004</v>
      </c>
      <c r="B337" s="159" t="s">
        <v>200</v>
      </c>
      <c r="C337" s="283">
        <v>60000</v>
      </c>
      <c r="D337" s="156">
        <v>42702</v>
      </c>
      <c r="E337" s="178">
        <v>64053</v>
      </c>
      <c r="F337" s="156">
        <v>100</v>
      </c>
      <c r="G337" s="202">
        <v>150</v>
      </c>
      <c r="H337" s="202">
        <v>151</v>
      </c>
      <c r="I337" s="121">
        <v>200</v>
      </c>
      <c r="J337" s="120">
        <v>150</v>
      </c>
      <c r="K337" s="120">
        <v>150</v>
      </c>
      <c r="L337" s="180"/>
    </row>
    <row r="338" spans="1:13" x14ac:dyDescent="0.25">
      <c r="A338" s="158">
        <v>520.09</v>
      </c>
      <c r="B338" s="159" t="s">
        <v>212</v>
      </c>
      <c r="C338" s="178">
        <v>20000</v>
      </c>
      <c r="D338" s="156">
        <v>12251</v>
      </c>
      <c r="E338" s="178">
        <v>18376</v>
      </c>
      <c r="F338" s="153">
        <v>1000</v>
      </c>
      <c r="G338" s="202">
        <v>5000</v>
      </c>
      <c r="H338" s="202">
        <v>2009</v>
      </c>
      <c r="I338" s="120">
        <v>4500</v>
      </c>
      <c r="J338" s="120">
        <v>5000</v>
      </c>
      <c r="K338" s="120">
        <v>5000</v>
      </c>
      <c r="L338" s="180"/>
    </row>
    <row r="339" spans="1:13" x14ac:dyDescent="0.25">
      <c r="A339" s="158">
        <v>520.1</v>
      </c>
      <c r="B339" s="159" t="s">
        <v>165</v>
      </c>
      <c r="C339" s="178">
        <v>2000</v>
      </c>
      <c r="D339" s="156">
        <v>0</v>
      </c>
      <c r="E339" s="178">
        <v>0</v>
      </c>
      <c r="F339" s="156">
        <v>1000</v>
      </c>
      <c r="G339" s="202">
        <v>1500</v>
      </c>
      <c r="H339" s="202">
        <v>1455</v>
      </c>
      <c r="I339" s="121">
        <v>1500</v>
      </c>
      <c r="J339" s="120">
        <v>1500</v>
      </c>
      <c r="K339" s="120">
        <v>1500</v>
      </c>
    </row>
    <row r="340" spans="1:13" x14ac:dyDescent="0.25">
      <c r="A340" s="284">
        <v>520.12</v>
      </c>
      <c r="B340" s="285" t="s">
        <v>237</v>
      </c>
      <c r="C340" s="178">
        <v>10000</v>
      </c>
      <c r="D340" s="156">
        <v>0</v>
      </c>
      <c r="E340" s="178">
        <v>0</v>
      </c>
      <c r="F340" s="156">
        <v>1500</v>
      </c>
      <c r="G340" s="286">
        <v>1900</v>
      </c>
      <c r="H340" s="286">
        <v>1468</v>
      </c>
      <c r="I340" s="147">
        <v>2500</v>
      </c>
      <c r="J340" s="129">
        <v>2000</v>
      </c>
      <c r="K340" s="129">
        <v>2000</v>
      </c>
    </row>
    <row r="341" spans="1:13" ht="18.75" thickBot="1" x14ac:dyDescent="0.3">
      <c r="A341" s="287" t="s">
        <v>166</v>
      </c>
      <c r="B341" s="288"/>
      <c r="C341" s="277"/>
      <c r="D341" s="278"/>
      <c r="E341" s="277"/>
      <c r="F341" s="278">
        <f t="shared" ref="F341:K341" si="37">SUM(F331:F340)</f>
        <v>18550</v>
      </c>
      <c r="G341" s="182">
        <f t="shared" si="37"/>
        <v>22325</v>
      </c>
      <c r="H341" s="182">
        <f t="shared" si="37"/>
        <v>14629</v>
      </c>
      <c r="I341" s="182">
        <f t="shared" si="37"/>
        <v>23580</v>
      </c>
      <c r="J341" s="182">
        <f t="shared" si="37"/>
        <v>22900</v>
      </c>
      <c r="K341" s="182">
        <f t="shared" si="37"/>
        <v>22900</v>
      </c>
    </row>
    <row r="342" spans="1:13" x14ac:dyDescent="0.25">
      <c r="A342" s="158">
        <v>530.01</v>
      </c>
      <c r="B342" s="159" t="s">
        <v>201</v>
      </c>
      <c r="C342" s="178">
        <v>23000</v>
      </c>
      <c r="D342" s="156">
        <v>0</v>
      </c>
      <c r="E342" s="178">
        <v>0</v>
      </c>
      <c r="F342" s="156">
        <v>1400</v>
      </c>
      <c r="G342" s="202">
        <v>2640</v>
      </c>
      <c r="H342" s="202">
        <v>2000</v>
      </c>
      <c r="I342" s="121">
        <v>3000</v>
      </c>
      <c r="J342" s="121">
        <v>2500</v>
      </c>
      <c r="K342" s="121">
        <v>2500</v>
      </c>
    </row>
    <row r="343" spans="1:13" x14ac:dyDescent="0.25">
      <c r="A343" s="158">
        <v>530.02</v>
      </c>
      <c r="B343" s="159" t="s">
        <v>238</v>
      </c>
      <c r="C343" s="178">
        <v>8000</v>
      </c>
      <c r="D343" s="156">
        <v>2717</v>
      </c>
      <c r="E343" s="178">
        <v>4080</v>
      </c>
      <c r="F343" s="156">
        <v>8000</v>
      </c>
      <c r="G343" s="202">
        <v>15000</v>
      </c>
      <c r="H343" s="202">
        <v>7505</v>
      </c>
      <c r="I343" s="121">
        <v>15000</v>
      </c>
      <c r="J343" s="121">
        <f>SUM('Budget Req-Street'!E42)</f>
        <v>12000</v>
      </c>
      <c r="K343" s="121">
        <v>8000</v>
      </c>
      <c r="M343" s="146"/>
    </row>
    <row r="344" spans="1:13" x14ac:dyDescent="0.25">
      <c r="A344" s="158">
        <v>530.03</v>
      </c>
      <c r="B344" s="159" t="s">
        <v>605</v>
      </c>
      <c r="C344" s="178"/>
      <c r="D344" s="156"/>
      <c r="E344" s="178"/>
      <c r="F344" s="156">
        <v>0</v>
      </c>
      <c r="G344" s="202">
        <v>0</v>
      </c>
      <c r="H344" s="202">
        <v>0</v>
      </c>
      <c r="I344" s="121">
        <v>0</v>
      </c>
      <c r="J344" s="121">
        <v>0</v>
      </c>
      <c r="K344" s="121">
        <v>0</v>
      </c>
    </row>
    <row r="345" spans="1:13" x14ac:dyDescent="0.25">
      <c r="A345" s="158">
        <v>530.11</v>
      </c>
      <c r="B345" s="159" t="s">
        <v>2</v>
      </c>
      <c r="C345" s="178">
        <v>500</v>
      </c>
      <c r="D345" s="156">
        <v>70</v>
      </c>
      <c r="E345" s="178">
        <v>450</v>
      </c>
      <c r="F345" s="156">
        <v>53500</v>
      </c>
      <c r="G345" s="202">
        <v>55500</v>
      </c>
      <c r="H345" s="202">
        <v>41088</v>
      </c>
      <c r="I345" s="121">
        <f>+H345+(5150*4)</f>
        <v>61688</v>
      </c>
      <c r="J345" s="121">
        <f>SUM('Budget Req-Street'!E46)</f>
        <v>62000</v>
      </c>
      <c r="K345" s="121">
        <v>62000</v>
      </c>
    </row>
    <row r="346" spans="1:13" s="146" customFormat="1" x14ac:dyDescent="0.25">
      <c r="A346" s="284">
        <v>530.13</v>
      </c>
      <c r="B346" s="285" t="s">
        <v>303</v>
      </c>
      <c r="C346" s="178"/>
      <c r="D346" s="156"/>
      <c r="E346" s="178"/>
      <c r="F346" s="156"/>
      <c r="G346" s="286">
        <v>0</v>
      </c>
      <c r="H346" s="286">
        <v>178</v>
      </c>
      <c r="I346" s="147">
        <v>200</v>
      </c>
      <c r="J346" s="147">
        <v>0</v>
      </c>
      <c r="K346" s="147">
        <v>0</v>
      </c>
      <c r="L346" s="96"/>
      <c r="M346" s="96"/>
    </row>
    <row r="347" spans="1:13" ht="18.75" thickBot="1" x14ac:dyDescent="0.3">
      <c r="A347" s="287" t="s">
        <v>167</v>
      </c>
      <c r="B347" s="288"/>
      <c r="C347" s="277"/>
      <c r="D347" s="278"/>
      <c r="E347" s="277"/>
      <c r="F347" s="278">
        <f>SUM(F342:F345)</f>
        <v>62900</v>
      </c>
      <c r="G347" s="182">
        <f>SUM(G342:G346)</f>
        <v>73140</v>
      </c>
      <c r="H347" s="182">
        <f>SUM(H342:H346)</f>
        <v>50771</v>
      </c>
      <c r="I347" s="182">
        <f>SUM(I342:I346)</f>
        <v>79888</v>
      </c>
      <c r="J347" s="182">
        <f>SUM(J342:J345)</f>
        <v>76500</v>
      </c>
      <c r="K347" s="182">
        <f>SUM(K342:K346)</f>
        <v>72500</v>
      </c>
      <c r="L347" s="146"/>
    </row>
    <row r="348" spans="1:13" x14ac:dyDescent="0.25">
      <c r="A348" s="158">
        <v>540.01</v>
      </c>
      <c r="B348" s="159" t="s">
        <v>239</v>
      </c>
      <c r="C348" s="178"/>
      <c r="D348" s="156"/>
      <c r="E348" s="178"/>
      <c r="F348" s="156">
        <v>500</v>
      </c>
      <c r="G348" s="202">
        <v>2500</v>
      </c>
      <c r="H348" s="202">
        <v>759</v>
      </c>
      <c r="I348" s="121">
        <v>2500</v>
      </c>
      <c r="J348" s="121">
        <f>SUM('Budget Req-Street'!E48)</f>
        <v>2000</v>
      </c>
      <c r="K348" s="121">
        <v>2000</v>
      </c>
    </row>
    <row r="349" spans="1:13" x14ac:dyDescent="0.25">
      <c r="A349" s="158">
        <v>540.02</v>
      </c>
      <c r="B349" s="159" t="s">
        <v>497</v>
      </c>
      <c r="C349" s="178"/>
      <c r="D349" s="156"/>
      <c r="E349" s="178"/>
      <c r="F349" s="156">
        <v>0</v>
      </c>
      <c r="G349" s="202">
        <v>400</v>
      </c>
      <c r="H349" s="202">
        <v>0</v>
      </c>
      <c r="I349" s="121">
        <v>400</v>
      </c>
      <c r="J349" s="121">
        <v>600</v>
      </c>
      <c r="K349" s="121">
        <v>600</v>
      </c>
      <c r="M349" s="157"/>
    </row>
    <row r="350" spans="1:13" x14ac:dyDescent="0.25">
      <c r="A350" s="158">
        <v>540.04999999999995</v>
      </c>
      <c r="B350" s="159" t="s">
        <v>498</v>
      </c>
      <c r="C350" s="178"/>
      <c r="D350" s="156"/>
      <c r="E350" s="178"/>
      <c r="F350" s="156">
        <v>0</v>
      </c>
      <c r="G350" s="202">
        <v>250</v>
      </c>
      <c r="H350" s="202">
        <v>0</v>
      </c>
      <c r="I350" s="121">
        <v>250</v>
      </c>
      <c r="J350" s="121">
        <v>250</v>
      </c>
      <c r="K350" s="121">
        <v>250</v>
      </c>
    </row>
    <row r="351" spans="1:13" x14ac:dyDescent="0.25">
      <c r="A351" s="158">
        <v>540.05999999999995</v>
      </c>
      <c r="B351" s="159" t="s">
        <v>240</v>
      </c>
      <c r="C351" s="178">
        <v>800</v>
      </c>
      <c r="D351" s="156">
        <v>382</v>
      </c>
      <c r="E351" s="178">
        <v>580</v>
      </c>
      <c r="F351" s="156">
        <v>35000</v>
      </c>
      <c r="G351" s="202">
        <v>25000</v>
      </c>
      <c r="H351" s="202">
        <v>13099</v>
      </c>
      <c r="I351" s="121">
        <v>25000</v>
      </c>
      <c r="J351" s="121">
        <f>SUM('Budget Req-Street'!E50)</f>
        <v>36000</v>
      </c>
      <c r="K351" s="121">
        <v>36000</v>
      </c>
    </row>
    <row r="352" spans="1:13" s="157" customFormat="1" x14ac:dyDescent="0.25">
      <c r="A352" s="284">
        <v>540.07000000000005</v>
      </c>
      <c r="B352" s="285" t="s">
        <v>340</v>
      </c>
      <c r="C352" s="178"/>
      <c r="D352" s="156"/>
      <c r="E352" s="178"/>
      <c r="F352" s="156">
        <v>33500</v>
      </c>
      <c r="G352" s="286">
        <v>36200</v>
      </c>
      <c r="H352" s="286">
        <v>6800</v>
      </c>
      <c r="I352" s="129">
        <v>36200</v>
      </c>
      <c r="J352" s="129">
        <f>SUM('Budget Req-Street'!E55)</f>
        <v>33500</v>
      </c>
      <c r="K352" s="129">
        <v>33500</v>
      </c>
      <c r="L352" s="96"/>
      <c r="M352" s="96"/>
    </row>
    <row r="353" spans="1:13" ht="18.75" thickBot="1" x14ac:dyDescent="0.3">
      <c r="A353" s="287" t="s">
        <v>215</v>
      </c>
      <c r="B353" s="288"/>
      <c r="C353" s="277"/>
      <c r="D353" s="278"/>
      <c r="E353" s="277"/>
      <c r="F353" s="278">
        <f t="shared" ref="F353:K353" si="38">SUM(F348:F352)</f>
        <v>69000</v>
      </c>
      <c r="G353" s="182">
        <f t="shared" si="38"/>
        <v>64350</v>
      </c>
      <c r="H353" s="182">
        <f t="shared" si="38"/>
        <v>20658</v>
      </c>
      <c r="I353" s="182">
        <f t="shared" si="38"/>
        <v>64350</v>
      </c>
      <c r="J353" s="182">
        <f t="shared" si="38"/>
        <v>72350</v>
      </c>
      <c r="K353" s="136">
        <f t="shared" si="38"/>
        <v>72350</v>
      </c>
    </row>
    <row r="354" spans="1:13" x14ac:dyDescent="0.25">
      <c r="A354" s="158">
        <v>550.01</v>
      </c>
      <c r="B354" s="159" t="s">
        <v>571</v>
      </c>
      <c r="C354" s="178"/>
      <c r="D354" s="156"/>
      <c r="E354" s="178"/>
      <c r="F354" s="156"/>
      <c r="G354" s="202">
        <v>250</v>
      </c>
      <c r="H354" s="202">
        <v>0</v>
      </c>
      <c r="I354" s="121">
        <v>250</v>
      </c>
      <c r="J354" s="120">
        <v>250</v>
      </c>
      <c r="K354" s="120">
        <v>250</v>
      </c>
    </row>
    <row r="355" spans="1:13" x14ac:dyDescent="0.25">
      <c r="A355" s="158">
        <v>550.02</v>
      </c>
      <c r="B355" s="159" t="s">
        <v>204</v>
      </c>
      <c r="C355" s="178"/>
      <c r="D355" s="156"/>
      <c r="E355" s="178"/>
      <c r="F355" s="156">
        <v>1000</v>
      </c>
      <c r="G355" s="121">
        <v>1500</v>
      </c>
      <c r="H355" s="202">
        <v>131</v>
      </c>
      <c r="I355" s="121">
        <v>1500</v>
      </c>
      <c r="J355" s="120">
        <v>1500</v>
      </c>
      <c r="K355" s="120">
        <v>1500</v>
      </c>
    </row>
    <row r="356" spans="1:13" x14ac:dyDescent="0.25">
      <c r="A356" s="158">
        <v>550.03</v>
      </c>
      <c r="B356" s="159" t="s">
        <v>241</v>
      </c>
      <c r="C356" s="178"/>
      <c r="D356" s="156"/>
      <c r="E356" s="178"/>
      <c r="F356" s="156">
        <v>2500</v>
      </c>
      <c r="G356" s="121">
        <v>6200</v>
      </c>
      <c r="H356" s="202">
        <v>4291</v>
      </c>
      <c r="I356" s="121">
        <v>6200</v>
      </c>
      <c r="J356" s="120">
        <v>6500</v>
      </c>
      <c r="K356" s="120">
        <v>6500</v>
      </c>
    </row>
    <row r="357" spans="1:13" x14ac:dyDescent="0.25">
      <c r="A357" s="284">
        <v>550.04</v>
      </c>
      <c r="B357" s="285" t="s">
        <v>205</v>
      </c>
      <c r="C357" s="178"/>
      <c r="D357" s="156"/>
      <c r="E357" s="178"/>
      <c r="F357" s="156">
        <v>4400</v>
      </c>
      <c r="G357" s="147">
        <v>4200</v>
      </c>
      <c r="H357" s="286">
        <v>843</v>
      </c>
      <c r="I357" s="147">
        <v>3000</v>
      </c>
      <c r="J357" s="129">
        <v>5000</v>
      </c>
      <c r="K357" s="129">
        <v>5000</v>
      </c>
      <c r="L357" s="146"/>
    </row>
    <row r="358" spans="1:13" ht="18.75" thickBot="1" x14ac:dyDescent="0.3">
      <c r="A358" s="287" t="s">
        <v>696</v>
      </c>
      <c r="B358" s="288"/>
      <c r="C358" s="277"/>
      <c r="D358" s="278"/>
      <c r="E358" s="277"/>
      <c r="F358" s="278">
        <f>SUM(F355:F357)</f>
        <v>7900</v>
      </c>
      <c r="G358" s="182">
        <f>SUM(G354:G357)</f>
        <v>12150</v>
      </c>
      <c r="H358" s="182">
        <f>SUM(H354:H357)</f>
        <v>5265</v>
      </c>
      <c r="I358" s="182">
        <f>SUM(I354:I357)</f>
        <v>10950</v>
      </c>
      <c r="J358" s="182">
        <f>SUM(J354:J357)</f>
        <v>13250</v>
      </c>
      <c r="K358" s="136">
        <f>SUM(K354:K357)</f>
        <v>13250</v>
      </c>
    </row>
    <row r="359" spans="1:13" x14ac:dyDescent="0.25">
      <c r="A359" s="158">
        <v>560.02</v>
      </c>
      <c r="B359" s="159" t="s">
        <v>179</v>
      </c>
      <c r="C359" s="178"/>
      <c r="D359" s="156"/>
      <c r="E359" s="178"/>
      <c r="F359" s="156">
        <v>200</v>
      </c>
      <c r="G359" s="121">
        <v>100</v>
      </c>
      <c r="H359" s="202">
        <v>48</v>
      </c>
      <c r="I359" s="121">
        <v>100</v>
      </c>
      <c r="J359" s="120">
        <v>100</v>
      </c>
      <c r="K359" s="120">
        <v>100</v>
      </c>
    </row>
    <row r="360" spans="1:13" x14ac:dyDescent="0.25">
      <c r="A360" s="158">
        <v>560.09</v>
      </c>
      <c r="B360" s="159" t="s">
        <v>496</v>
      </c>
      <c r="C360" s="178"/>
      <c r="D360" s="156"/>
      <c r="E360" s="178"/>
      <c r="F360" s="156"/>
      <c r="G360" s="121">
        <v>100</v>
      </c>
      <c r="H360" s="202">
        <v>480</v>
      </c>
      <c r="I360" s="121">
        <v>500</v>
      </c>
      <c r="J360" s="120">
        <v>500</v>
      </c>
      <c r="K360" s="120">
        <v>500</v>
      </c>
    </row>
    <row r="361" spans="1:13" x14ac:dyDescent="0.25">
      <c r="A361" s="284">
        <v>560.1</v>
      </c>
      <c r="B361" s="285" t="s">
        <v>180</v>
      </c>
      <c r="C361" s="178"/>
      <c r="D361" s="156"/>
      <c r="E361" s="178"/>
      <c r="F361" s="156">
        <v>300</v>
      </c>
      <c r="G361" s="147">
        <v>500</v>
      </c>
      <c r="H361" s="286">
        <v>291</v>
      </c>
      <c r="I361" s="147">
        <v>500</v>
      </c>
      <c r="J361" s="129">
        <v>500</v>
      </c>
      <c r="K361" s="129">
        <v>500</v>
      </c>
    </row>
    <row r="362" spans="1:13" ht="18.75" thickBot="1" x14ac:dyDescent="0.3">
      <c r="A362" s="289" t="s">
        <v>178</v>
      </c>
      <c r="B362" s="290"/>
      <c r="C362" s="278"/>
      <c r="D362" s="278"/>
      <c r="E362" s="278"/>
      <c r="F362" s="278">
        <f t="shared" ref="F362:K362" si="39">SUM(F359:F361)</f>
        <v>500</v>
      </c>
      <c r="G362" s="182">
        <f t="shared" si="39"/>
        <v>700</v>
      </c>
      <c r="H362" s="182">
        <f t="shared" si="39"/>
        <v>819</v>
      </c>
      <c r="I362" s="182">
        <f t="shared" si="39"/>
        <v>1100</v>
      </c>
      <c r="J362" s="182">
        <f t="shared" si="39"/>
        <v>1100</v>
      </c>
      <c r="K362" s="136">
        <f t="shared" si="39"/>
        <v>1100</v>
      </c>
    </row>
    <row r="363" spans="1:13" x14ac:dyDescent="0.25">
      <c r="A363" s="158">
        <v>580.03</v>
      </c>
      <c r="B363" s="159" t="s">
        <v>242</v>
      </c>
      <c r="C363" s="178"/>
      <c r="D363" s="156"/>
      <c r="E363" s="178"/>
      <c r="F363" s="156">
        <v>0</v>
      </c>
      <c r="G363" s="121">
        <v>1000</v>
      </c>
      <c r="H363" s="202">
        <v>195</v>
      </c>
      <c r="I363" s="121">
        <v>1000</v>
      </c>
      <c r="J363" s="120">
        <v>800</v>
      </c>
      <c r="K363" s="120">
        <v>800</v>
      </c>
    </row>
    <row r="364" spans="1:13" x14ac:dyDescent="0.25">
      <c r="A364" s="158">
        <v>580.13</v>
      </c>
      <c r="B364" s="159" t="s">
        <v>243</v>
      </c>
      <c r="C364" s="178"/>
      <c r="D364" s="156"/>
      <c r="E364" s="178"/>
      <c r="F364" s="156">
        <v>800</v>
      </c>
      <c r="G364" s="121">
        <v>700</v>
      </c>
      <c r="H364" s="202">
        <v>0</v>
      </c>
      <c r="I364" s="121">
        <v>700</v>
      </c>
      <c r="J364" s="120">
        <v>700</v>
      </c>
      <c r="K364" s="120">
        <v>700</v>
      </c>
    </row>
    <row r="365" spans="1:13" x14ac:dyDescent="0.25">
      <c r="A365" s="284">
        <v>580.14</v>
      </c>
      <c r="B365" s="285" t="s">
        <v>244</v>
      </c>
      <c r="C365" s="178"/>
      <c r="D365" s="156"/>
      <c r="E365" s="178"/>
      <c r="F365" s="156">
        <v>500</v>
      </c>
      <c r="G365" s="147">
        <v>9000</v>
      </c>
      <c r="H365" s="286">
        <v>2782</v>
      </c>
      <c r="I365" s="147">
        <v>7000</v>
      </c>
      <c r="J365" s="129">
        <f>SUM('Budget Req-Street'!E59)</f>
        <v>9000</v>
      </c>
      <c r="K365" s="129">
        <v>9000</v>
      </c>
      <c r="M365" s="157"/>
    </row>
    <row r="366" spans="1:13" ht="18.75" thickBot="1" x14ac:dyDescent="0.3">
      <c r="A366" s="287" t="s">
        <v>341</v>
      </c>
      <c r="B366" s="288"/>
      <c r="C366" s="277"/>
      <c r="D366" s="278"/>
      <c r="E366" s="277"/>
      <c r="F366" s="278">
        <f t="shared" ref="F366:K366" si="40">SUM(F363:F365)</f>
        <v>1300</v>
      </c>
      <c r="G366" s="182">
        <f t="shared" si="40"/>
        <v>10700</v>
      </c>
      <c r="H366" s="182">
        <f t="shared" si="40"/>
        <v>2977</v>
      </c>
      <c r="I366" s="182">
        <f t="shared" si="40"/>
        <v>8700</v>
      </c>
      <c r="J366" s="182">
        <f t="shared" si="40"/>
        <v>10500</v>
      </c>
      <c r="K366" s="136">
        <f t="shared" si="40"/>
        <v>10500</v>
      </c>
    </row>
    <row r="367" spans="1:13" s="157" customFormat="1" x14ac:dyDescent="0.25">
      <c r="A367" s="158">
        <v>590.01</v>
      </c>
      <c r="B367" s="159" t="s">
        <v>203</v>
      </c>
      <c r="C367" s="178"/>
      <c r="D367" s="156"/>
      <c r="E367" s="178"/>
      <c r="F367" s="156"/>
      <c r="G367" s="202">
        <v>250</v>
      </c>
      <c r="H367" s="202">
        <v>0</v>
      </c>
      <c r="I367" s="121">
        <v>250</v>
      </c>
      <c r="J367" s="120">
        <v>250</v>
      </c>
      <c r="K367" s="120">
        <v>250</v>
      </c>
      <c r="L367" s="96"/>
      <c r="M367" s="96"/>
    </row>
    <row r="368" spans="1:13" x14ac:dyDescent="0.25">
      <c r="A368" s="158">
        <v>590.02</v>
      </c>
      <c r="B368" s="159" t="s">
        <v>204</v>
      </c>
      <c r="C368" s="178"/>
      <c r="D368" s="156"/>
      <c r="E368" s="178"/>
      <c r="F368" s="156">
        <v>35000</v>
      </c>
      <c r="G368" s="202">
        <v>0</v>
      </c>
      <c r="H368" s="202">
        <v>0</v>
      </c>
      <c r="I368" s="120">
        <v>0</v>
      </c>
      <c r="J368" s="120">
        <f>SUM('Budget Req-Street'!E61)</f>
        <v>11000</v>
      </c>
      <c r="K368" s="120">
        <v>11000</v>
      </c>
    </row>
    <row r="369" spans="1:12" x14ac:dyDescent="0.25">
      <c r="A369" s="158">
        <v>590.03</v>
      </c>
      <c r="B369" s="159" t="s">
        <v>499</v>
      </c>
      <c r="C369" s="178"/>
      <c r="D369" s="156"/>
      <c r="E369" s="178"/>
      <c r="F369" s="156">
        <v>0</v>
      </c>
      <c r="G369" s="202">
        <v>0</v>
      </c>
      <c r="H369" s="202">
        <v>0</v>
      </c>
      <c r="I369" s="120">
        <v>0</v>
      </c>
      <c r="J369" s="120">
        <v>0</v>
      </c>
      <c r="K369" s="120">
        <v>0</v>
      </c>
    </row>
    <row r="370" spans="1:12" x14ac:dyDescent="0.25">
      <c r="A370" s="158">
        <v>590.04</v>
      </c>
      <c r="B370" s="159" t="s">
        <v>205</v>
      </c>
      <c r="C370" s="178"/>
      <c r="D370" s="156"/>
      <c r="E370" s="178"/>
      <c r="F370" s="156">
        <v>8000</v>
      </c>
      <c r="G370" s="202">
        <v>8895</v>
      </c>
      <c r="H370" s="202">
        <v>9168</v>
      </c>
      <c r="I370" s="120">
        <v>9200</v>
      </c>
      <c r="J370" s="120">
        <f>SUM('Budget Req-Street'!E63)</f>
        <v>9000</v>
      </c>
      <c r="K370" s="120">
        <v>9000</v>
      </c>
    </row>
    <row r="371" spans="1:12" x14ac:dyDescent="0.25">
      <c r="A371" s="158">
        <v>590.05999999999995</v>
      </c>
      <c r="B371" s="159" t="s">
        <v>227</v>
      </c>
      <c r="C371" s="178"/>
      <c r="D371" s="156"/>
      <c r="E371" s="178"/>
      <c r="F371" s="156">
        <v>0</v>
      </c>
      <c r="G371" s="202">
        <v>0</v>
      </c>
      <c r="H371" s="202">
        <v>0</v>
      </c>
      <c r="I371" s="121">
        <v>0</v>
      </c>
      <c r="J371" s="120">
        <f>SUM('Budget Req-Street'!E65)</f>
        <v>0</v>
      </c>
      <c r="K371" s="120">
        <v>0</v>
      </c>
    </row>
    <row r="372" spans="1:12" x14ac:dyDescent="0.25">
      <c r="A372" s="284">
        <v>590.1</v>
      </c>
      <c r="B372" s="285" t="s">
        <v>216</v>
      </c>
      <c r="C372" s="178"/>
      <c r="D372" s="156"/>
      <c r="E372" s="178"/>
      <c r="F372" s="156">
        <v>1700</v>
      </c>
      <c r="G372" s="286">
        <v>0</v>
      </c>
      <c r="H372" s="286">
        <v>0</v>
      </c>
      <c r="I372" s="147">
        <v>0</v>
      </c>
      <c r="J372" s="129">
        <v>0</v>
      </c>
      <c r="K372" s="129">
        <v>0</v>
      </c>
    </row>
    <row r="373" spans="1:12" ht="18.75" thickBot="1" x14ac:dyDescent="0.3">
      <c r="A373" s="291" t="s">
        <v>276</v>
      </c>
      <c r="B373" s="292"/>
      <c r="C373" s="152"/>
      <c r="D373" s="153"/>
      <c r="E373" s="152"/>
      <c r="F373" s="153">
        <f>SUM(F368:F372)</f>
        <v>44700</v>
      </c>
      <c r="G373" s="112">
        <f>SUM(G367:G372)</f>
        <v>9145</v>
      </c>
      <c r="H373" s="112">
        <f>SUM(H367:H372)</f>
        <v>9168</v>
      </c>
      <c r="I373" s="112">
        <f>SUM(I367:I372)</f>
        <v>9450</v>
      </c>
      <c r="J373" s="112">
        <f>SUM(J367:J372)</f>
        <v>20250</v>
      </c>
      <c r="K373" s="112">
        <f>SUM(K367:K372)</f>
        <v>20250</v>
      </c>
    </row>
    <row r="374" spans="1:12" ht="18.75" thickBot="1" x14ac:dyDescent="0.3">
      <c r="A374" s="524" t="s">
        <v>8</v>
      </c>
      <c r="B374" s="541"/>
      <c r="C374" s="484">
        <f>SUM(C324:C373)</f>
        <v>184035</v>
      </c>
      <c r="D374" s="469">
        <f>SUM(D324:D373)</f>
        <v>91061</v>
      </c>
      <c r="E374" s="469">
        <f>SUM(E324:E373)</f>
        <v>137144</v>
      </c>
      <c r="F374" s="485">
        <f t="shared" ref="F374:K374" si="41">SUM(F330+F341+F347+F353+F358+F362+F366+F373)</f>
        <v>371679.07999999996</v>
      </c>
      <c r="G374" s="486">
        <f t="shared" si="41"/>
        <v>430007</v>
      </c>
      <c r="H374" s="486">
        <f t="shared" si="41"/>
        <v>269767</v>
      </c>
      <c r="I374" s="486">
        <f t="shared" si="41"/>
        <v>453658.38699999999</v>
      </c>
      <c r="J374" s="486">
        <f t="shared" si="41"/>
        <v>452916.54839099996</v>
      </c>
      <c r="K374" s="486">
        <f t="shared" si="41"/>
        <v>470316</v>
      </c>
    </row>
    <row r="375" spans="1:12" x14ac:dyDescent="0.25">
      <c r="A375" s="281"/>
      <c r="B375" s="487"/>
      <c r="C375" s="488"/>
      <c r="D375" s="489"/>
      <c r="E375" s="489"/>
      <c r="F375" s="490"/>
      <c r="G375" s="346"/>
      <c r="H375" s="491"/>
      <c r="I375" s="492"/>
      <c r="J375" s="310"/>
      <c r="K375" s="228"/>
    </row>
    <row r="376" spans="1:12" x14ac:dyDescent="0.25">
      <c r="A376" s="519"/>
      <c r="B376" s="520"/>
      <c r="C376" s="520"/>
      <c r="D376" s="520"/>
      <c r="E376" s="520"/>
      <c r="F376" s="521"/>
      <c r="G376" s="99"/>
      <c r="H376" s="100"/>
      <c r="I376" s="101" t="str">
        <f>+I2</f>
        <v xml:space="preserve"> Estimated</v>
      </c>
      <c r="J376" s="101" t="s">
        <v>1093</v>
      </c>
      <c r="K376" s="101" t="s">
        <v>1077</v>
      </c>
      <c r="L376" s="146"/>
    </row>
    <row r="377" spans="1:12" x14ac:dyDescent="0.25">
      <c r="A377" s="103" t="s">
        <v>245</v>
      </c>
      <c r="B377" s="300"/>
      <c r="C377" s="275" t="s">
        <v>27</v>
      </c>
      <c r="D377" s="276" t="s">
        <v>30</v>
      </c>
      <c r="E377" s="276" t="s">
        <v>29</v>
      </c>
      <c r="F377" s="174" t="s">
        <v>405</v>
      </c>
      <c r="G377" s="105" t="str">
        <f>+G3</f>
        <v>Budget 2016-17</v>
      </c>
      <c r="H377" s="105" t="str">
        <f>+H3</f>
        <v>Actual 5/31/17</v>
      </c>
      <c r="I377" s="106">
        <f>+I3</f>
        <v>43008</v>
      </c>
      <c r="J377" s="105" t="str">
        <f>+J3</f>
        <v>Budget 2017-18</v>
      </c>
      <c r="K377" s="105" t="s">
        <v>1076</v>
      </c>
    </row>
    <row r="378" spans="1:12" x14ac:dyDescent="0.25">
      <c r="A378" s="301" t="s">
        <v>330</v>
      </c>
      <c r="B378" s="302" t="s">
        <v>161</v>
      </c>
      <c r="C378" s="303"/>
      <c r="D378" s="304"/>
      <c r="E378" s="304"/>
      <c r="F378" s="191">
        <v>350</v>
      </c>
      <c r="G378" s="231">
        <v>100</v>
      </c>
      <c r="H378" s="305">
        <v>0</v>
      </c>
      <c r="I378" s="113">
        <v>100</v>
      </c>
      <c r="J378" s="113">
        <f>SUM('Budget Req-Emer Mgmt'!E9)</f>
        <v>100</v>
      </c>
      <c r="K378" s="306">
        <v>100</v>
      </c>
    </row>
    <row r="379" spans="1:12" x14ac:dyDescent="0.25">
      <c r="A379" s="186">
        <v>520.05999999999995</v>
      </c>
      <c r="B379" s="116" t="s">
        <v>231</v>
      </c>
      <c r="C379" s="144">
        <v>0</v>
      </c>
      <c r="D379" s="145">
        <v>0</v>
      </c>
      <c r="E379" s="145">
        <v>0</v>
      </c>
      <c r="F379" s="145">
        <v>350</v>
      </c>
      <c r="G379" s="139">
        <v>300</v>
      </c>
      <c r="H379" s="139">
        <v>0</v>
      </c>
      <c r="I379" s="120">
        <v>300</v>
      </c>
      <c r="J379" s="120">
        <f>SUM('Budget Req-Emer Mgmt'!E11)</f>
        <v>300</v>
      </c>
      <c r="K379" s="139">
        <v>300</v>
      </c>
    </row>
    <row r="380" spans="1:12" x14ac:dyDescent="0.25">
      <c r="A380" s="138">
        <v>520.07000000000005</v>
      </c>
      <c r="B380" s="116" t="s">
        <v>211</v>
      </c>
      <c r="C380" s="144">
        <v>0</v>
      </c>
      <c r="D380" s="145">
        <v>0</v>
      </c>
      <c r="E380" s="145">
        <v>0</v>
      </c>
      <c r="F380" s="145">
        <v>1000</v>
      </c>
      <c r="G380" s="139">
        <v>500</v>
      </c>
      <c r="H380" s="139">
        <v>0</v>
      </c>
      <c r="I380" s="120">
        <v>500</v>
      </c>
      <c r="J380" s="120">
        <v>500</v>
      </c>
      <c r="K380" s="139">
        <v>500</v>
      </c>
    </row>
    <row r="381" spans="1:12" x14ac:dyDescent="0.25">
      <c r="A381" s="141">
        <v>520.1</v>
      </c>
      <c r="B381" s="125" t="s">
        <v>216</v>
      </c>
      <c r="C381" s="144">
        <v>500</v>
      </c>
      <c r="D381" s="145">
        <v>0</v>
      </c>
      <c r="E381" s="145">
        <v>0</v>
      </c>
      <c r="F381" s="145">
        <v>0</v>
      </c>
      <c r="G381" s="205">
        <v>0</v>
      </c>
      <c r="H381" s="205">
        <v>0</v>
      </c>
      <c r="I381" s="129">
        <v>0</v>
      </c>
      <c r="J381" s="129">
        <v>0</v>
      </c>
      <c r="K381" s="205">
        <v>0</v>
      </c>
    </row>
    <row r="382" spans="1:12" ht="18.75" thickBot="1" x14ac:dyDescent="0.3">
      <c r="A382" s="142" t="s">
        <v>166</v>
      </c>
      <c r="B382" s="148"/>
      <c r="C382" s="149"/>
      <c r="D382" s="150"/>
      <c r="E382" s="150"/>
      <c r="F382" s="150">
        <f>SUM(F379:F381)</f>
        <v>1350</v>
      </c>
      <c r="G382" s="136">
        <f>SUM(G378:G381)</f>
        <v>900</v>
      </c>
      <c r="H382" s="136">
        <f>SUM(H378:H381)</f>
        <v>0</v>
      </c>
      <c r="I382" s="136">
        <f>SUM(I378:I381)</f>
        <v>900</v>
      </c>
      <c r="J382" s="136">
        <f>SUM(J378:J381)</f>
        <v>900</v>
      </c>
      <c r="K382" s="136">
        <f>SUM(K378:K381)</f>
        <v>900</v>
      </c>
    </row>
    <row r="383" spans="1:12" x14ac:dyDescent="0.25">
      <c r="A383" s="138">
        <v>530.01</v>
      </c>
      <c r="B383" s="116" t="s">
        <v>201</v>
      </c>
      <c r="C383" s="144"/>
      <c r="D383" s="145"/>
      <c r="E383" s="145"/>
      <c r="F383" s="145"/>
      <c r="G383" s="139">
        <v>500</v>
      </c>
      <c r="H383" s="139">
        <v>229</v>
      </c>
      <c r="I383" s="120">
        <v>500</v>
      </c>
      <c r="J383" s="120">
        <v>500</v>
      </c>
      <c r="K383" s="121">
        <v>500</v>
      </c>
      <c r="L383" s="157"/>
    </row>
    <row r="384" spans="1:12" x14ac:dyDescent="0.25">
      <c r="A384" s="141">
        <v>530.13</v>
      </c>
      <c r="B384" s="125" t="s">
        <v>500</v>
      </c>
      <c r="C384" s="144"/>
      <c r="D384" s="145"/>
      <c r="E384" s="145"/>
      <c r="F384" s="145">
        <v>0</v>
      </c>
      <c r="G384" s="205">
        <v>300</v>
      </c>
      <c r="H384" s="205">
        <v>0</v>
      </c>
      <c r="I384" s="129">
        <v>300</v>
      </c>
      <c r="J384" s="129">
        <v>300</v>
      </c>
      <c r="K384" s="147">
        <v>300</v>
      </c>
    </row>
    <row r="385" spans="1:13" ht="18.75" thickBot="1" x14ac:dyDescent="0.3">
      <c r="A385" s="142" t="s">
        <v>501</v>
      </c>
      <c r="B385" s="148"/>
      <c r="C385" s="149"/>
      <c r="D385" s="150"/>
      <c r="E385" s="150"/>
      <c r="F385" s="150">
        <f>SUM(F384)</f>
        <v>0</v>
      </c>
      <c r="G385" s="307">
        <f>SUM(G383:G384)</f>
        <v>800</v>
      </c>
      <c r="H385" s="307">
        <f>SUM(H383:H384)</f>
        <v>229</v>
      </c>
      <c r="I385" s="136">
        <f>SUM(I383:I384)</f>
        <v>800</v>
      </c>
      <c r="J385" s="136">
        <f>SUM(J383:J384)</f>
        <v>800</v>
      </c>
      <c r="K385" s="136">
        <f>SUM(K383:K384)</f>
        <v>800</v>
      </c>
    </row>
    <row r="386" spans="1:13" x14ac:dyDescent="0.25">
      <c r="A386" s="141">
        <v>540.07000000000005</v>
      </c>
      <c r="B386" s="125" t="s">
        <v>216</v>
      </c>
      <c r="C386" s="144"/>
      <c r="D386" s="145"/>
      <c r="E386" s="145"/>
      <c r="F386" s="145"/>
      <c r="G386" s="205">
        <v>750</v>
      </c>
      <c r="H386" s="205">
        <v>0</v>
      </c>
      <c r="I386" s="129">
        <v>500</v>
      </c>
      <c r="J386" s="129">
        <f>SUM('Budget Req-Emer Mgmt'!E19)</f>
        <v>500</v>
      </c>
      <c r="K386" s="129">
        <v>500</v>
      </c>
      <c r="M386" s="157"/>
    </row>
    <row r="387" spans="1:13" ht="18.75" thickBot="1" x14ac:dyDescent="0.3">
      <c r="A387" s="142" t="s">
        <v>215</v>
      </c>
      <c r="B387" s="148"/>
      <c r="C387" s="149"/>
      <c r="D387" s="150"/>
      <c r="E387" s="150"/>
      <c r="F387" s="150"/>
      <c r="G387" s="307">
        <f>SUM(G386)</f>
        <v>750</v>
      </c>
      <c r="H387" s="307">
        <f>SUM(H386)</f>
        <v>0</v>
      </c>
      <c r="I387" s="136">
        <f>SUM(I386)</f>
        <v>500</v>
      </c>
      <c r="J387" s="136">
        <f>SUM(J386)</f>
        <v>500</v>
      </c>
      <c r="K387" s="136">
        <f>SUM(K386)</f>
        <v>500</v>
      </c>
    </row>
    <row r="388" spans="1:13" s="157" customFormat="1" x14ac:dyDescent="0.25">
      <c r="A388" s="141">
        <v>560.1</v>
      </c>
      <c r="B388" s="125" t="s">
        <v>217</v>
      </c>
      <c r="C388" s="144">
        <v>0</v>
      </c>
      <c r="D388" s="145">
        <v>0</v>
      </c>
      <c r="E388" s="145">
        <v>0</v>
      </c>
      <c r="F388" s="145">
        <v>400</v>
      </c>
      <c r="G388" s="205">
        <v>500</v>
      </c>
      <c r="H388" s="205">
        <v>0</v>
      </c>
      <c r="I388" s="129">
        <v>500</v>
      </c>
      <c r="J388" s="129">
        <f>SUM('Budget Req-Emer Mgmt'!E21)</f>
        <v>500</v>
      </c>
      <c r="K388" s="129">
        <v>500</v>
      </c>
      <c r="L388" s="96"/>
      <c r="M388" s="96"/>
    </row>
    <row r="389" spans="1:13" ht="18.75" thickBot="1" x14ac:dyDescent="0.3">
      <c r="A389" s="132" t="s">
        <v>178</v>
      </c>
      <c r="B389" s="148"/>
      <c r="C389" s="149"/>
      <c r="D389" s="150"/>
      <c r="E389" s="150"/>
      <c r="F389" s="150">
        <f t="shared" ref="F389:K389" si="42">SUM(F388)</f>
        <v>400</v>
      </c>
      <c r="G389" s="136">
        <f t="shared" si="42"/>
        <v>500</v>
      </c>
      <c r="H389" s="136">
        <f t="shared" si="42"/>
        <v>0</v>
      </c>
      <c r="I389" s="136">
        <f t="shared" si="42"/>
        <v>500</v>
      </c>
      <c r="J389" s="136">
        <f t="shared" si="42"/>
        <v>500</v>
      </c>
      <c r="K389" s="136">
        <f t="shared" si="42"/>
        <v>500</v>
      </c>
    </row>
    <row r="390" spans="1:13" x14ac:dyDescent="0.25">
      <c r="A390" s="125">
        <v>590.02</v>
      </c>
      <c r="B390" s="125" t="s">
        <v>331</v>
      </c>
      <c r="C390" s="144"/>
      <c r="D390" s="145"/>
      <c r="E390" s="145"/>
      <c r="F390" s="145">
        <v>7000</v>
      </c>
      <c r="G390" s="129">
        <v>2500</v>
      </c>
      <c r="H390" s="129">
        <v>0</v>
      </c>
      <c r="I390" s="129">
        <v>2500</v>
      </c>
      <c r="J390" s="147">
        <f>SUM('Budget Req-Emer Mgmt'!E23)</f>
        <v>2500</v>
      </c>
      <c r="K390" s="129">
        <v>2500</v>
      </c>
    </row>
    <row r="391" spans="1:13" ht="18.75" thickBot="1" x14ac:dyDescent="0.3">
      <c r="A391" s="132" t="s">
        <v>332</v>
      </c>
      <c r="B391" s="148"/>
      <c r="C391" s="149"/>
      <c r="D391" s="181"/>
      <c r="E391" s="181"/>
      <c r="F391" s="150">
        <f t="shared" ref="F391:K391" si="43">SUM(F390)</f>
        <v>7000</v>
      </c>
      <c r="G391" s="136">
        <f t="shared" si="43"/>
        <v>2500</v>
      </c>
      <c r="H391" s="136">
        <f t="shared" si="43"/>
        <v>0</v>
      </c>
      <c r="I391" s="308">
        <f t="shared" si="43"/>
        <v>2500</v>
      </c>
      <c r="J391" s="136">
        <f t="shared" si="43"/>
        <v>2500</v>
      </c>
      <c r="K391" s="136">
        <f t="shared" si="43"/>
        <v>2500</v>
      </c>
    </row>
    <row r="392" spans="1:13" ht="18.75" thickBot="1" x14ac:dyDescent="0.3">
      <c r="A392" s="532" t="s">
        <v>812</v>
      </c>
      <c r="B392" s="533"/>
      <c r="C392" s="309">
        <f>SUM(C379:C391)</f>
        <v>500</v>
      </c>
      <c r="D392" s="239">
        <f>SUM(D379:D391)</f>
        <v>0</v>
      </c>
      <c r="E392" s="239">
        <f>SUM(E379:E391)</f>
        <v>0</v>
      </c>
      <c r="F392" s="239">
        <f>SUM(F382+F389+F391)</f>
        <v>8750</v>
      </c>
      <c r="G392" s="240">
        <f>SUM(G382+G385+G387+G389+G391)</f>
        <v>5450</v>
      </c>
      <c r="H392" s="240">
        <f>SUM(H382+H385+H389+H391+H387)</f>
        <v>229</v>
      </c>
      <c r="I392" s="240">
        <f>SUM(I382+I385+I389+I391)</f>
        <v>4700</v>
      </c>
      <c r="J392" s="240">
        <f>SUM(J382+J385+J387+J389+J391)</f>
        <v>5200</v>
      </c>
      <c r="K392" s="240">
        <f>SUM(K382+K385+K387+K389+K391)</f>
        <v>5200</v>
      </c>
    </row>
    <row r="393" spans="1:13" x14ac:dyDescent="0.25">
      <c r="A393" s="98"/>
      <c r="B393" s="98"/>
      <c r="C393" s="98"/>
      <c r="D393" s="98"/>
      <c r="E393" s="98"/>
      <c r="F393" s="145"/>
      <c r="G393" s="163"/>
      <c r="H393" s="163"/>
      <c r="I393" s="163"/>
      <c r="J393" s="310"/>
    </row>
    <row r="394" spans="1:13" x14ac:dyDescent="0.25">
      <c r="A394" s="193"/>
      <c r="B394" s="293"/>
      <c r="C394" s="294"/>
      <c r="D394" s="295"/>
      <c r="E394" s="295"/>
      <c r="F394" s="296"/>
      <c r="G394" s="297"/>
      <c r="H394" s="298"/>
      <c r="I394" s="299"/>
      <c r="J394" s="310"/>
    </row>
    <row r="395" spans="1:13" x14ac:dyDescent="0.25">
      <c r="A395" s="519"/>
      <c r="B395" s="536"/>
      <c r="C395" s="536"/>
      <c r="D395" s="536"/>
      <c r="E395" s="536"/>
      <c r="F395" s="518"/>
      <c r="G395" s="99"/>
      <c r="H395" s="100"/>
      <c r="I395" s="101"/>
      <c r="J395" s="101" t="s">
        <v>1093</v>
      </c>
      <c r="K395" s="101" t="s">
        <v>1077</v>
      </c>
    </row>
    <row r="396" spans="1:13" x14ac:dyDescent="0.25">
      <c r="A396" s="103" t="s">
        <v>246</v>
      </c>
      <c r="B396" s="104"/>
      <c r="C396" s="104" t="s">
        <v>31</v>
      </c>
      <c r="D396" s="104" t="s">
        <v>30</v>
      </c>
      <c r="E396" s="104" t="s">
        <v>29</v>
      </c>
      <c r="F396" s="174" t="s">
        <v>405</v>
      </c>
      <c r="G396" s="105" t="s">
        <v>846</v>
      </c>
      <c r="H396" s="105" t="s">
        <v>855</v>
      </c>
      <c r="I396" s="311" t="s">
        <v>1090</v>
      </c>
      <c r="J396" s="105" t="s">
        <v>857</v>
      </c>
      <c r="K396" s="105" t="s">
        <v>1076</v>
      </c>
    </row>
    <row r="397" spans="1:13" x14ac:dyDescent="0.25">
      <c r="A397" s="254" t="s">
        <v>247</v>
      </c>
      <c r="B397" s="125" t="s">
        <v>155</v>
      </c>
      <c r="C397" s="144">
        <v>2000</v>
      </c>
      <c r="D397" s="145">
        <v>0</v>
      </c>
      <c r="E397" s="145">
        <v>0</v>
      </c>
      <c r="F397" s="145">
        <v>3700</v>
      </c>
      <c r="G397" s="312">
        <v>5000</v>
      </c>
      <c r="H397" s="312">
        <v>2688</v>
      </c>
      <c r="I397" s="210">
        <v>5000</v>
      </c>
      <c r="J397" s="210">
        <v>15000</v>
      </c>
      <c r="K397" s="210">
        <v>15000</v>
      </c>
    </row>
    <row r="398" spans="1:13" ht="18.75" thickBot="1" x14ac:dyDescent="0.3">
      <c r="A398" s="313" t="s">
        <v>210</v>
      </c>
      <c r="B398" s="148"/>
      <c r="C398" s="149"/>
      <c r="D398" s="150"/>
      <c r="E398" s="150"/>
      <c r="F398" s="150">
        <f t="shared" ref="F398:K398" si="44">SUM(F397)</f>
        <v>3700</v>
      </c>
      <c r="G398" s="136">
        <f t="shared" si="44"/>
        <v>5000</v>
      </c>
      <c r="H398" s="136">
        <f t="shared" si="44"/>
        <v>2688</v>
      </c>
      <c r="I398" s="136">
        <f t="shared" si="44"/>
        <v>5000</v>
      </c>
      <c r="J398" s="136">
        <f t="shared" si="44"/>
        <v>15000</v>
      </c>
      <c r="K398" s="136">
        <f t="shared" si="44"/>
        <v>15000</v>
      </c>
    </row>
    <row r="399" spans="1:13" x14ac:dyDescent="0.25">
      <c r="A399" s="186">
        <v>520.02</v>
      </c>
      <c r="B399" s="116" t="s">
        <v>196</v>
      </c>
      <c r="C399" s="144"/>
      <c r="D399" s="145"/>
      <c r="E399" s="145"/>
      <c r="F399" s="145"/>
      <c r="G399" s="139">
        <v>180</v>
      </c>
      <c r="H399" s="139">
        <v>90</v>
      </c>
      <c r="I399" s="120">
        <v>180</v>
      </c>
      <c r="J399" s="120">
        <v>200</v>
      </c>
      <c r="K399" s="120">
        <v>200</v>
      </c>
      <c r="M399" s="157"/>
    </row>
    <row r="400" spans="1:13" x14ac:dyDescent="0.25">
      <c r="A400" s="254">
        <v>520.09</v>
      </c>
      <c r="B400" s="125" t="s">
        <v>212</v>
      </c>
      <c r="C400" s="144"/>
      <c r="D400" s="145"/>
      <c r="E400" s="145"/>
      <c r="F400" s="145">
        <v>0</v>
      </c>
      <c r="G400" s="129">
        <v>800</v>
      </c>
      <c r="H400" s="205">
        <v>0</v>
      </c>
      <c r="I400" s="129">
        <v>600</v>
      </c>
      <c r="J400" s="129">
        <f>SUM('Budget Req-Airport'!E11)</f>
        <v>800</v>
      </c>
      <c r="K400" s="129">
        <v>800</v>
      </c>
      <c r="L400" s="157"/>
    </row>
    <row r="401" spans="1:13" ht="18.75" thickBot="1" x14ac:dyDescent="0.3">
      <c r="A401" s="313" t="s">
        <v>166</v>
      </c>
      <c r="B401" s="314"/>
      <c r="C401" s="149"/>
      <c r="D401" s="278"/>
      <c r="E401" s="278"/>
      <c r="F401" s="150" t="e">
        <f>SUM(#REF!)</f>
        <v>#REF!</v>
      </c>
      <c r="G401" s="136">
        <f>SUM(G399:G400)</f>
        <v>980</v>
      </c>
      <c r="H401" s="136">
        <f>SUM(H399:H400)</f>
        <v>90</v>
      </c>
      <c r="I401" s="136">
        <f>SUM(I399:I400)</f>
        <v>780</v>
      </c>
      <c r="J401" s="136">
        <f>SUM(J399:J400)</f>
        <v>1000</v>
      </c>
      <c r="K401" s="136">
        <f>SUM(K399:K400)</f>
        <v>1000</v>
      </c>
    </row>
    <row r="402" spans="1:13" s="157" customFormat="1" x14ac:dyDescent="0.25">
      <c r="A402" s="158">
        <v>530.03</v>
      </c>
      <c r="B402" s="159" t="s">
        <v>605</v>
      </c>
      <c r="C402" s="144">
        <v>10000</v>
      </c>
      <c r="D402" s="145">
        <v>720</v>
      </c>
      <c r="E402" s="145">
        <v>1100</v>
      </c>
      <c r="F402" s="145">
        <v>2000</v>
      </c>
      <c r="G402" s="139">
        <v>2000</v>
      </c>
      <c r="H402" s="139">
        <v>702</v>
      </c>
      <c r="I402" s="120">
        <v>2000</v>
      </c>
      <c r="J402" s="120">
        <f>SUM('Budget Req-Airport'!E13)</f>
        <v>2000</v>
      </c>
      <c r="K402" s="120">
        <v>2000</v>
      </c>
      <c r="L402" s="96"/>
      <c r="M402" s="96"/>
    </row>
    <row r="403" spans="1:13" x14ac:dyDescent="0.25">
      <c r="A403" s="138">
        <v>530.1</v>
      </c>
      <c r="B403" s="116" t="s">
        <v>225</v>
      </c>
      <c r="C403" s="144">
        <v>700</v>
      </c>
      <c r="D403" s="145">
        <v>297</v>
      </c>
      <c r="E403" s="145">
        <v>297</v>
      </c>
      <c r="F403" s="145">
        <v>400</v>
      </c>
      <c r="G403" s="139">
        <v>500</v>
      </c>
      <c r="H403" s="139">
        <v>277</v>
      </c>
      <c r="I403" s="121">
        <v>500</v>
      </c>
      <c r="J403" s="120">
        <v>500</v>
      </c>
      <c r="K403" s="120">
        <v>500</v>
      </c>
    </row>
    <row r="404" spans="1:13" x14ac:dyDescent="0.25">
      <c r="A404" s="138">
        <v>530.11</v>
      </c>
      <c r="B404" s="116" t="s">
        <v>2</v>
      </c>
      <c r="C404" s="144">
        <v>5500</v>
      </c>
      <c r="D404" s="145">
        <v>749</v>
      </c>
      <c r="E404" s="145">
        <v>1130</v>
      </c>
      <c r="F404" s="145">
        <v>3300</v>
      </c>
      <c r="G404" s="139">
        <v>2500</v>
      </c>
      <c r="H404" s="139">
        <v>2195</v>
      </c>
      <c r="I404" s="120">
        <v>3700</v>
      </c>
      <c r="J404" s="120">
        <v>3700</v>
      </c>
      <c r="K404" s="120">
        <v>3700</v>
      </c>
    </row>
    <row r="405" spans="1:13" x14ac:dyDescent="0.25">
      <c r="A405" s="141">
        <v>530.13</v>
      </c>
      <c r="B405" s="125" t="s">
        <v>172</v>
      </c>
      <c r="C405" s="118">
        <v>3000</v>
      </c>
      <c r="D405" s="145">
        <v>0</v>
      </c>
      <c r="E405" s="145">
        <v>0</v>
      </c>
      <c r="F405" s="119">
        <v>0</v>
      </c>
      <c r="G405" s="205">
        <v>0</v>
      </c>
      <c r="H405" s="205"/>
      <c r="I405" s="129"/>
      <c r="J405" s="129">
        <v>0</v>
      </c>
      <c r="K405" s="129">
        <v>0</v>
      </c>
    </row>
    <row r="406" spans="1:13" ht="18.75" thickBot="1" x14ac:dyDescent="0.3">
      <c r="A406" s="142" t="s">
        <v>167</v>
      </c>
      <c r="B406" s="148"/>
      <c r="C406" s="149"/>
      <c r="D406" s="150"/>
      <c r="E406" s="150"/>
      <c r="F406" s="150">
        <f t="shared" ref="F406:K406" si="45">SUM(F402:F405)</f>
        <v>5700</v>
      </c>
      <c r="G406" s="136">
        <f t="shared" si="45"/>
        <v>5000</v>
      </c>
      <c r="H406" s="136">
        <f t="shared" si="45"/>
        <v>3174</v>
      </c>
      <c r="I406" s="136">
        <f t="shared" si="45"/>
        <v>6200</v>
      </c>
      <c r="J406" s="136">
        <f t="shared" si="45"/>
        <v>6200</v>
      </c>
      <c r="K406" s="136">
        <f t="shared" si="45"/>
        <v>6200</v>
      </c>
    </row>
    <row r="407" spans="1:13" x14ac:dyDescent="0.25">
      <c r="A407" s="138">
        <v>540.01</v>
      </c>
      <c r="B407" s="116" t="s">
        <v>182</v>
      </c>
      <c r="C407" s="118">
        <v>500</v>
      </c>
      <c r="D407" s="145">
        <v>175</v>
      </c>
      <c r="E407" s="145">
        <v>270</v>
      </c>
      <c r="F407" s="119">
        <v>0</v>
      </c>
      <c r="G407" s="139">
        <v>100</v>
      </c>
      <c r="H407" s="139">
        <v>0</v>
      </c>
      <c r="I407" s="120">
        <v>100</v>
      </c>
      <c r="J407" s="120">
        <v>100</v>
      </c>
      <c r="K407" s="120">
        <v>100</v>
      </c>
    </row>
    <row r="408" spans="1:13" x14ac:dyDescent="0.25">
      <c r="A408" s="138">
        <v>540.07000000000005</v>
      </c>
      <c r="B408" s="116" t="s">
        <v>249</v>
      </c>
      <c r="C408" s="144">
        <v>500</v>
      </c>
      <c r="D408" s="145">
        <v>0</v>
      </c>
      <c r="E408" s="145">
        <v>0</v>
      </c>
      <c r="F408" s="145">
        <v>6500</v>
      </c>
      <c r="G408" s="139">
        <v>5000</v>
      </c>
      <c r="H408" s="139">
        <v>6850</v>
      </c>
      <c r="I408" s="120">
        <v>6850</v>
      </c>
      <c r="J408" s="120">
        <f>SUM('Budget Req-Airport'!E15)</f>
        <v>5000</v>
      </c>
      <c r="K408" s="120">
        <v>5000</v>
      </c>
    </row>
    <row r="409" spans="1:13" x14ac:dyDescent="0.25">
      <c r="A409" s="141">
        <v>540.09</v>
      </c>
      <c r="B409" s="125" t="s">
        <v>216</v>
      </c>
      <c r="C409" s="144"/>
      <c r="D409" s="145"/>
      <c r="E409" s="145"/>
      <c r="F409" s="145">
        <v>25000</v>
      </c>
      <c r="G409" s="205">
        <v>20000</v>
      </c>
      <c r="H409" s="205">
        <v>3127</v>
      </c>
      <c r="I409" s="129">
        <v>20000</v>
      </c>
      <c r="J409" s="129">
        <f>SUM('Budget Req-Airport'!E17)</f>
        <v>25000</v>
      </c>
      <c r="K409" s="129">
        <v>25000</v>
      </c>
    </row>
    <row r="410" spans="1:13" ht="18.75" thickBot="1" x14ac:dyDescent="0.3">
      <c r="A410" s="280" t="s">
        <v>248</v>
      </c>
      <c r="B410" s="185"/>
      <c r="C410" s="144"/>
      <c r="D410" s="145"/>
      <c r="E410" s="145"/>
      <c r="F410" s="145">
        <f t="shared" ref="F410:K410" si="46">SUM(F407:F409)</f>
        <v>31500</v>
      </c>
      <c r="G410" s="113">
        <f t="shared" si="46"/>
        <v>25100</v>
      </c>
      <c r="H410" s="113">
        <f t="shared" si="46"/>
        <v>9977</v>
      </c>
      <c r="I410" s="113">
        <f t="shared" si="46"/>
        <v>26950</v>
      </c>
      <c r="J410" s="113">
        <f t="shared" si="46"/>
        <v>30100</v>
      </c>
      <c r="K410" s="113">
        <f t="shared" si="46"/>
        <v>30100</v>
      </c>
      <c r="M410" s="146"/>
    </row>
    <row r="411" spans="1:13" ht="18.75" thickBot="1" x14ac:dyDescent="0.3">
      <c r="A411" s="532" t="s">
        <v>10</v>
      </c>
      <c r="B411" s="533"/>
      <c r="C411" s="309">
        <f>SUM(C397:C410)</f>
        <v>22200</v>
      </c>
      <c r="D411" s="315">
        <f>SUM(D397:D410)</f>
        <v>1941</v>
      </c>
      <c r="E411" s="315">
        <f>SUM(E397:E410)</f>
        <v>2797</v>
      </c>
      <c r="F411" s="315" t="e">
        <f t="shared" ref="F411:K411" si="47">SUM(F398+F401+F406+F410)</f>
        <v>#REF!</v>
      </c>
      <c r="G411" s="316">
        <f t="shared" si="47"/>
        <v>36080</v>
      </c>
      <c r="H411" s="316">
        <f t="shared" si="47"/>
        <v>15929</v>
      </c>
      <c r="I411" s="316">
        <f t="shared" si="47"/>
        <v>38930</v>
      </c>
      <c r="J411" s="316">
        <f t="shared" si="47"/>
        <v>52300</v>
      </c>
      <c r="K411" s="316">
        <f t="shared" si="47"/>
        <v>52300</v>
      </c>
    </row>
    <row r="412" spans="1:13" s="146" customFormat="1" x14ac:dyDescent="0.25">
      <c r="A412" s="98"/>
      <c r="B412" s="98"/>
      <c r="C412" s="98"/>
      <c r="D412" s="98"/>
      <c r="E412" s="98"/>
      <c r="F412" s="98"/>
      <c r="G412" s="163"/>
      <c r="H412" s="163"/>
      <c r="I412" s="163"/>
      <c r="J412" s="163"/>
      <c r="K412" s="98"/>
      <c r="L412" s="96"/>
    </row>
    <row r="413" spans="1:13" x14ac:dyDescent="0.25">
      <c r="A413" s="519"/>
      <c r="B413" s="536"/>
      <c r="C413" s="536"/>
      <c r="D413" s="536"/>
      <c r="E413" s="536"/>
      <c r="F413" s="518"/>
      <c r="G413" s="99"/>
      <c r="H413" s="100"/>
      <c r="I413" s="101" t="str">
        <f>+I2</f>
        <v xml:space="preserve"> Estimated</v>
      </c>
      <c r="J413" s="101" t="s">
        <v>1093</v>
      </c>
      <c r="K413" s="101" t="s">
        <v>1075</v>
      </c>
    </row>
    <row r="414" spans="1:13" x14ac:dyDescent="0.25">
      <c r="A414" s="103" t="s">
        <v>250</v>
      </c>
      <c r="B414" s="104"/>
      <c r="C414" s="104" t="s">
        <v>27</v>
      </c>
      <c r="D414" s="104" t="s">
        <v>30</v>
      </c>
      <c r="E414" s="104" t="s">
        <v>29</v>
      </c>
      <c r="F414" s="174" t="s">
        <v>405</v>
      </c>
      <c r="G414" s="105" t="str">
        <f>+G3</f>
        <v>Budget 2016-17</v>
      </c>
      <c r="H414" s="105" t="str">
        <f>+H3</f>
        <v>Actual 5/31/17</v>
      </c>
      <c r="I414" s="106">
        <f>+I3</f>
        <v>43008</v>
      </c>
      <c r="J414" s="105" t="str">
        <f>+J3</f>
        <v>Budget 2017-18</v>
      </c>
      <c r="K414" s="105" t="s">
        <v>1076</v>
      </c>
      <c r="M414" s="146"/>
    </row>
    <row r="415" spans="1:13" s="146" customFormat="1" x14ac:dyDescent="0.25">
      <c r="A415" s="186" t="s">
        <v>251</v>
      </c>
      <c r="B415" s="116" t="s">
        <v>200</v>
      </c>
      <c r="C415" s="226">
        <v>500</v>
      </c>
      <c r="D415" s="145">
        <v>337</v>
      </c>
      <c r="E415" s="144">
        <v>500</v>
      </c>
      <c r="F415" s="145">
        <v>500</v>
      </c>
      <c r="G415" s="199">
        <v>500</v>
      </c>
      <c r="H415" s="199">
        <v>225</v>
      </c>
      <c r="I415" s="113">
        <v>500</v>
      </c>
      <c r="J415" s="113">
        <f>SUM('Budget Req-Library'!E10)</f>
        <v>600</v>
      </c>
      <c r="K415" s="113">
        <v>600</v>
      </c>
      <c r="L415" s="96"/>
    </row>
    <row r="416" spans="1:13" s="146" customFormat="1" x14ac:dyDescent="0.25">
      <c r="A416" s="138">
        <v>520.1</v>
      </c>
      <c r="B416" s="116" t="s">
        <v>216</v>
      </c>
      <c r="C416" s="226">
        <v>500</v>
      </c>
      <c r="D416" s="145">
        <v>0</v>
      </c>
      <c r="E416" s="144">
        <v>0</v>
      </c>
      <c r="F416" s="145">
        <v>0</v>
      </c>
      <c r="G416" s="139">
        <v>0</v>
      </c>
      <c r="H416" s="139">
        <v>0</v>
      </c>
      <c r="I416" s="120">
        <v>0</v>
      </c>
      <c r="J416" s="120">
        <v>0</v>
      </c>
      <c r="K416" s="120">
        <v>0</v>
      </c>
      <c r="L416" s="96"/>
    </row>
    <row r="417" spans="1:18" ht="18.75" thickBot="1" x14ac:dyDescent="0.3">
      <c r="A417" s="142" t="s">
        <v>166</v>
      </c>
      <c r="B417" s="148"/>
      <c r="C417" s="317"/>
      <c r="D417" s="135"/>
      <c r="E417" s="134"/>
      <c r="F417" s="135">
        <f t="shared" ref="F417:K417" si="48">SUM(F415:F416)</f>
        <v>500</v>
      </c>
      <c r="G417" s="136">
        <f t="shared" si="48"/>
        <v>500</v>
      </c>
      <c r="H417" s="136">
        <f t="shared" si="48"/>
        <v>225</v>
      </c>
      <c r="I417" s="136">
        <f t="shared" si="48"/>
        <v>500</v>
      </c>
      <c r="J417" s="136">
        <f t="shared" si="48"/>
        <v>600</v>
      </c>
      <c r="K417" s="136">
        <f t="shared" si="48"/>
        <v>600</v>
      </c>
    </row>
    <row r="418" spans="1:18" s="146" customFormat="1" x14ac:dyDescent="0.25">
      <c r="A418" s="138">
        <v>530.01</v>
      </c>
      <c r="B418" s="116" t="s">
        <v>201</v>
      </c>
      <c r="C418" s="226"/>
      <c r="D418" s="145"/>
      <c r="E418" s="144"/>
      <c r="F418" s="145">
        <v>3000</v>
      </c>
      <c r="G418" s="139">
        <v>3800</v>
      </c>
      <c r="H418" s="139">
        <v>2787</v>
      </c>
      <c r="I418" s="120">
        <v>4500</v>
      </c>
      <c r="J418" s="120">
        <f>SUM('Budget Req-Library'!E12)</f>
        <v>4500</v>
      </c>
      <c r="K418" s="120">
        <v>4500</v>
      </c>
      <c r="L418" s="96"/>
      <c r="M418" s="96"/>
    </row>
    <row r="419" spans="1:18" s="146" customFormat="1" x14ac:dyDescent="0.25">
      <c r="A419" s="141">
        <v>530.1</v>
      </c>
      <c r="B419" s="125" t="s">
        <v>225</v>
      </c>
      <c r="C419" s="226"/>
      <c r="D419" s="145"/>
      <c r="E419" s="144"/>
      <c r="F419" s="145"/>
      <c r="G419" s="205">
        <v>0</v>
      </c>
      <c r="H419" s="205">
        <v>0</v>
      </c>
      <c r="I419" s="129">
        <v>0</v>
      </c>
      <c r="J419" s="129">
        <v>0</v>
      </c>
      <c r="K419" s="129">
        <v>0</v>
      </c>
      <c r="L419" s="96"/>
      <c r="M419" s="96"/>
    </row>
    <row r="420" spans="1:18" ht="18.75" thickBot="1" x14ac:dyDescent="0.3">
      <c r="A420" s="142" t="s">
        <v>1080</v>
      </c>
      <c r="B420" s="148"/>
      <c r="C420" s="318"/>
      <c r="D420" s="150"/>
      <c r="E420" s="149"/>
      <c r="F420" s="150">
        <f>SUM(F418)</f>
        <v>3000</v>
      </c>
      <c r="G420" s="136">
        <f>SUM(G418+G419)</f>
        <v>3800</v>
      </c>
      <c r="H420" s="136">
        <f t="shared" ref="H420:J420" si="49">SUM(H418+H419)</f>
        <v>2787</v>
      </c>
      <c r="I420" s="136">
        <f t="shared" si="49"/>
        <v>4500</v>
      </c>
      <c r="J420" s="136">
        <f t="shared" si="49"/>
        <v>4500</v>
      </c>
      <c r="K420" s="136">
        <f>SUM(K418+K419)</f>
        <v>4500</v>
      </c>
    </row>
    <row r="421" spans="1:18" x14ac:dyDescent="0.25">
      <c r="A421" s="141">
        <v>540.01</v>
      </c>
      <c r="B421" s="125" t="s">
        <v>255</v>
      </c>
      <c r="C421" s="226"/>
      <c r="D421" s="145"/>
      <c r="E421" s="144"/>
      <c r="F421" s="145">
        <v>1000</v>
      </c>
      <c r="G421" s="205">
        <v>1000</v>
      </c>
      <c r="H421" s="205">
        <v>0</v>
      </c>
      <c r="I421" s="129">
        <v>800</v>
      </c>
      <c r="J421" s="129">
        <f>SUM('Budget Req-Library'!E14)</f>
        <v>1000</v>
      </c>
      <c r="K421" s="129">
        <v>1000</v>
      </c>
      <c r="L421" s="157"/>
      <c r="R421" s="180"/>
    </row>
    <row r="422" spans="1:18" ht="18.75" thickBot="1" x14ac:dyDescent="0.3">
      <c r="A422" s="142" t="s">
        <v>254</v>
      </c>
      <c r="B422" s="148"/>
      <c r="C422" s="318"/>
      <c r="D422" s="150"/>
      <c r="E422" s="149"/>
      <c r="F422" s="150">
        <f t="shared" ref="F422:K422" si="50">SUM(F421)</f>
        <v>1000</v>
      </c>
      <c r="G422" s="136">
        <f t="shared" si="50"/>
        <v>1000</v>
      </c>
      <c r="H422" s="136">
        <f t="shared" si="50"/>
        <v>0</v>
      </c>
      <c r="I422" s="136">
        <f t="shared" si="50"/>
        <v>800</v>
      </c>
      <c r="J422" s="136">
        <f t="shared" si="50"/>
        <v>1000</v>
      </c>
      <c r="K422" s="136">
        <f t="shared" si="50"/>
        <v>1000</v>
      </c>
      <c r="R422" s="180"/>
    </row>
    <row r="423" spans="1:18" x14ac:dyDescent="0.25">
      <c r="A423" s="141">
        <v>550.09</v>
      </c>
      <c r="B423" s="125" t="s">
        <v>253</v>
      </c>
      <c r="C423" s="226">
        <v>0</v>
      </c>
      <c r="D423" s="145">
        <v>0</v>
      </c>
      <c r="E423" s="144">
        <v>0</v>
      </c>
      <c r="F423" s="145">
        <v>1000</v>
      </c>
      <c r="G423" s="205">
        <v>500</v>
      </c>
      <c r="H423" s="205">
        <v>0</v>
      </c>
      <c r="I423" s="129">
        <v>500</v>
      </c>
      <c r="J423" s="129">
        <f>SUM('Budget Req-Library'!E16)</f>
        <v>1000</v>
      </c>
      <c r="K423" s="129">
        <v>1000</v>
      </c>
      <c r="R423" s="180"/>
    </row>
    <row r="424" spans="1:18" ht="18.75" thickBot="1" x14ac:dyDescent="0.3">
      <c r="A424" s="132" t="s">
        <v>252</v>
      </c>
      <c r="B424" s="148"/>
      <c r="C424" s="318"/>
      <c r="D424" s="150"/>
      <c r="E424" s="149"/>
      <c r="F424" s="150">
        <f t="shared" ref="F424:K424" si="51">SUM(F423)</f>
        <v>1000</v>
      </c>
      <c r="G424" s="136">
        <f t="shared" si="51"/>
        <v>500</v>
      </c>
      <c r="H424" s="136">
        <f t="shared" si="51"/>
        <v>0</v>
      </c>
      <c r="I424" s="136">
        <f t="shared" si="51"/>
        <v>500</v>
      </c>
      <c r="J424" s="136">
        <f t="shared" si="51"/>
        <v>1000</v>
      </c>
      <c r="K424" s="136">
        <f t="shared" si="51"/>
        <v>1000</v>
      </c>
      <c r="R424" s="180"/>
    </row>
    <row r="425" spans="1:18" ht="18.75" thickBot="1" x14ac:dyDescent="0.3">
      <c r="A425" s="532" t="s">
        <v>11</v>
      </c>
      <c r="B425" s="533"/>
      <c r="C425" s="315">
        <f>SUM(C415:C416)</f>
        <v>1000</v>
      </c>
      <c r="D425" s="315">
        <f>SUM(D415:D423)</f>
        <v>337</v>
      </c>
      <c r="E425" s="315">
        <f>SUM(E415:E423)</f>
        <v>500</v>
      </c>
      <c r="F425" s="315">
        <f>SUM(F417+F420+F422+F424)</f>
        <v>5500</v>
      </c>
      <c r="G425" s="316">
        <f>SUM(G417+G420+G422+G424)</f>
        <v>5800</v>
      </c>
      <c r="H425" s="316">
        <f>SUM(H417+H420+H422+H424)</f>
        <v>3012</v>
      </c>
      <c r="I425" s="316">
        <f>SUM(I417+I420+I422+I424)</f>
        <v>6300</v>
      </c>
      <c r="J425" s="240">
        <f>J417+J420+J422+J424</f>
        <v>7100</v>
      </c>
      <c r="K425" s="316">
        <f>SUM(J417+J420+J422+J424)</f>
        <v>7100</v>
      </c>
      <c r="R425" s="180"/>
    </row>
    <row r="426" spans="1:18" x14ac:dyDescent="0.25">
      <c r="A426" s="193"/>
      <c r="B426" s="293"/>
      <c r="C426" s="294"/>
      <c r="D426" s="295"/>
      <c r="E426" s="295"/>
      <c r="F426" s="296"/>
      <c r="G426" s="297"/>
      <c r="H426" s="298"/>
      <c r="I426" s="299"/>
      <c r="J426" s="163"/>
      <c r="R426" s="180"/>
    </row>
    <row r="427" spans="1:18" x14ac:dyDescent="0.25">
      <c r="A427" s="193"/>
      <c r="B427" s="293"/>
      <c r="C427" s="294"/>
      <c r="D427" s="295"/>
      <c r="E427" s="295"/>
      <c r="F427" s="296"/>
      <c r="G427" s="297"/>
      <c r="H427" s="298"/>
      <c r="I427" s="299"/>
      <c r="J427" s="163"/>
      <c r="R427" s="180"/>
    </row>
    <row r="428" spans="1:18" x14ac:dyDescent="0.25">
      <c r="A428" s="519"/>
      <c r="B428" s="536"/>
      <c r="C428" s="536"/>
      <c r="D428" s="536"/>
      <c r="E428" s="536"/>
      <c r="F428" s="518"/>
      <c r="G428" s="99"/>
      <c r="H428" s="100"/>
      <c r="I428" s="101" t="str">
        <f>+I2</f>
        <v xml:space="preserve"> Estimated</v>
      </c>
      <c r="J428" s="101" t="s">
        <v>1093</v>
      </c>
      <c r="K428" s="101" t="s">
        <v>1077</v>
      </c>
      <c r="R428" s="180"/>
    </row>
    <row r="429" spans="1:18" x14ac:dyDescent="0.25">
      <c r="A429" s="103" t="s">
        <v>256</v>
      </c>
      <c r="B429" s="104"/>
      <c r="C429" s="104" t="s">
        <v>31</v>
      </c>
      <c r="D429" s="104" t="s">
        <v>30</v>
      </c>
      <c r="E429" s="104" t="s">
        <v>29</v>
      </c>
      <c r="F429" s="174" t="s">
        <v>405</v>
      </c>
      <c r="G429" s="105" t="str">
        <f>+G3</f>
        <v>Budget 2016-17</v>
      </c>
      <c r="H429" s="105" t="str">
        <f>+H3</f>
        <v>Actual 5/31/17</v>
      </c>
      <c r="I429" s="106">
        <f>+I3</f>
        <v>43008</v>
      </c>
      <c r="J429" s="105" t="str">
        <f>+J3</f>
        <v>Budget 2017-18</v>
      </c>
      <c r="K429" s="105" t="s">
        <v>1076</v>
      </c>
      <c r="R429" s="180"/>
    </row>
    <row r="430" spans="1:18" x14ac:dyDescent="0.25">
      <c r="A430" s="449" t="s">
        <v>257</v>
      </c>
      <c r="B430" s="439" t="s">
        <v>5</v>
      </c>
      <c r="C430" s="281"/>
      <c r="D430" s="281"/>
      <c r="E430" s="281"/>
      <c r="F430" s="282">
        <v>59932</v>
      </c>
      <c r="G430" s="358">
        <v>77943</v>
      </c>
      <c r="H430" s="358">
        <v>71389</v>
      </c>
      <c r="I430" s="358">
        <f>+H430+(7600*4)</f>
        <v>101789</v>
      </c>
      <c r="J430" s="112">
        <f>SUM('Personnel Sched-Park'!K18)*1.02</f>
        <v>83220.575999999986</v>
      </c>
      <c r="K430" s="112">
        <v>114281</v>
      </c>
      <c r="R430" s="180"/>
    </row>
    <row r="431" spans="1:18" x14ac:dyDescent="0.25">
      <c r="A431" s="459">
        <v>510.02</v>
      </c>
      <c r="B431" s="159" t="s">
        <v>876</v>
      </c>
      <c r="C431" s="281"/>
      <c r="D431" s="281"/>
      <c r="E431" s="281"/>
      <c r="F431" s="282"/>
      <c r="G431" s="268">
        <v>15000</v>
      </c>
      <c r="H431" s="268">
        <v>0</v>
      </c>
      <c r="I431" s="268">
        <v>0</v>
      </c>
      <c r="J431" s="121">
        <f>SUM('Personnel Sched-Park'!K22)</f>
        <v>29120</v>
      </c>
      <c r="K431" s="121">
        <v>11138</v>
      </c>
      <c r="R431" s="180"/>
    </row>
    <row r="432" spans="1:18" x14ac:dyDescent="0.25">
      <c r="A432" s="158">
        <v>510.03</v>
      </c>
      <c r="B432" s="159" t="s">
        <v>155</v>
      </c>
      <c r="C432" s="281"/>
      <c r="D432" s="281"/>
      <c r="E432" s="281"/>
      <c r="F432" s="282">
        <v>200</v>
      </c>
      <c r="G432" s="268">
        <v>400</v>
      </c>
      <c r="H432" s="268">
        <v>0</v>
      </c>
      <c r="I432" s="268">
        <v>400</v>
      </c>
      <c r="J432" s="268">
        <v>0</v>
      </c>
      <c r="K432" s="121">
        <v>0</v>
      </c>
      <c r="R432" s="180"/>
    </row>
    <row r="433" spans="1:18" x14ac:dyDescent="0.25">
      <c r="A433" s="158">
        <v>510.05</v>
      </c>
      <c r="B433" s="159" t="s">
        <v>194</v>
      </c>
      <c r="C433" s="281"/>
      <c r="D433" s="281"/>
      <c r="E433" s="281"/>
      <c r="F433" s="282">
        <v>12998</v>
      </c>
      <c r="G433" s="202">
        <v>15318</v>
      </c>
      <c r="H433" s="268">
        <v>8105</v>
      </c>
      <c r="I433" s="121">
        <v>15318</v>
      </c>
      <c r="J433" s="121">
        <f>SUM('Budget Req-Park'!E14)</f>
        <v>16974.325000000001</v>
      </c>
      <c r="K433" s="121">
        <v>25567</v>
      </c>
      <c r="R433" s="180"/>
    </row>
    <row r="434" spans="1:18" x14ac:dyDescent="0.25">
      <c r="A434" s="158">
        <v>510.06</v>
      </c>
      <c r="B434" s="159" t="s">
        <v>19</v>
      </c>
      <c r="C434" s="178">
        <v>7500</v>
      </c>
      <c r="D434" s="156">
        <v>5115</v>
      </c>
      <c r="E434" s="156">
        <v>7680</v>
      </c>
      <c r="F434" s="156">
        <v>4584.8</v>
      </c>
      <c r="G434" s="202">
        <v>7110</v>
      </c>
      <c r="H434" s="202">
        <v>5407</v>
      </c>
      <c r="I434" s="121">
        <f>+I430*0.08</f>
        <v>8143.12</v>
      </c>
      <c r="J434" s="121">
        <f>SUM('Budget Req-Park'!E16)</f>
        <v>8469.2231999999985</v>
      </c>
      <c r="K434" s="121">
        <v>9595</v>
      </c>
      <c r="R434" s="180"/>
    </row>
    <row r="435" spans="1:18" x14ac:dyDescent="0.25">
      <c r="A435" s="158">
        <v>510.07</v>
      </c>
      <c r="B435" s="159" t="s">
        <v>158</v>
      </c>
      <c r="C435" s="178">
        <v>2000</v>
      </c>
      <c r="D435" s="156">
        <v>964</v>
      </c>
      <c r="E435" s="156">
        <v>1450</v>
      </c>
      <c r="F435" s="156">
        <v>2547.11</v>
      </c>
      <c r="G435" s="202">
        <v>3967</v>
      </c>
      <c r="H435" s="202">
        <v>2068</v>
      </c>
      <c r="I435" s="121">
        <f>+I430*0.0502</f>
        <v>5109.8078000000005</v>
      </c>
      <c r="J435" s="121">
        <f>SUM('Budget Req-Park'!E18)</f>
        <v>4095.7577599999995</v>
      </c>
      <c r="K435" s="121">
        <v>5817</v>
      </c>
      <c r="R435" s="180"/>
    </row>
    <row r="436" spans="1:18" x14ac:dyDescent="0.25">
      <c r="A436" s="158">
        <v>510.08</v>
      </c>
      <c r="B436" s="159" t="s">
        <v>326</v>
      </c>
      <c r="C436" s="178"/>
      <c r="D436" s="156"/>
      <c r="E436" s="156"/>
      <c r="F436" s="156">
        <v>1498</v>
      </c>
      <c r="G436" s="202">
        <v>1939</v>
      </c>
      <c r="H436" s="268">
        <v>922</v>
      </c>
      <c r="I436" s="121">
        <v>1800</v>
      </c>
      <c r="J436" s="121">
        <f>SUM('Budget Req-Park'!E20)</f>
        <v>1938.6499999999999</v>
      </c>
      <c r="K436" s="121">
        <v>3173</v>
      </c>
      <c r="R436" s="180"/>
    </row>
    <row r="437" spans="1:18" x14ac:dyDescent="0.25">
      <c r="A437" s="158">
        <v>510.09</v>
      </c>
      <c r="B437" s="159" t="s">
        <v>690</v>
      </c>
      <c r="C437" s="178"/>
      <c r="D437" s="156"/>
      <c r="E437" s="156"/>
      <c r="F437" s="156"/>
      <c r="G437" s="202">
        <v>697</v>
      </c>
      <c r="H437" s="268">
        <v>0</v>
      </c>
      <c r="I437" s="121">
        <v>697</v>
      </c>
      <c r="J437" s="121">
        <f>SUM('Budget Req-Park'!E22)+(J430*0.01)</f>
        <v>1529.2057599999998</v>
      </c>
      <c r="K437" s="121">
        <v>1255</v>
      </c>
      <c r="R437" s="180"/>
    </row>
    <row r="438" spans="1:18" x14ac:dyDescent="0.25">
      <c r="A438" s="158">
        <v>510.11</v>
      </c>
      <c r="B438" s="159" t="s">
        <v>236</v>
      </c>
      <c r="C438" s="178">
        <v>1000</v>
      </c>
      <c r="D438" s="156">
        <v>0</v>
      </c>
      <c r="E438" s="156">
        <v>0</v>
      </c>
      <c r="F438" s="156">
        <v>5000</v>
      </c>
      <c r="G438" s="493">
        <v>0</v>
      </c>
      <c r="H438" s="202">
        <v>200</v>
      </c>
      <c r="I438" s="121">
        <v>200</v>
      </c>
      <c r="J438" s="121">
        <v>0</v>
      </c>
      <c r="K438" s="121">
        <v>0</v>
      </c>
      <c r="L438" s="157"/>
      <c r="R438" s="180"/>
    </row>
    <row r="439" spans="1:18" x14ac:dyDescent="0.25">
      <c r="A439" s="284">
        <v>510.12</v>
      </c>
      <c r="B439" s="285" t="s">
        <v>536</v>
      </c>
      <c r="C439" s="178"/>
      <c r="D439" s="156"/>
      <c r="E439" s="156"/>
      <c r="F439" s="156">
        <v>0</v>
      </c>
      <c r="G439" s="286">
        <v>4500</v>
      </c>
      <c r="H439" s="286">
        <v>0</v>
      </c>
      <c r="I439" s="147">
        <v>4500</v>
      </c>
      <c r="J439" s="147">
        <f>SUM('Budget Req-Park'!E24)</f>
        <v>4200</v>
      </c>
      <c r="K439" s="147">
        <v>1800</v>
      </c>
      <c r="R439" s="180"/>
    </row>
    <row r="440" spans="1:18" ht="18.75" thickBot="1" x14ac:dyDescent="0.3">
      <c r="A440" s="287" t="s">
        <v>210</v>
      </c>
      <c r="B440" s="288"/>
      <c r="C440" s="277"/>
      <c r="D440" s="278"/>
      <c r="E440" s="278"/>
      <c r="F440" s="278">
        <f t="shared" ref="F440:K440" si="52">SUM(F430:F439)</f>
        <v>86759.91</v>
      </c>
      <c r="G440" s="182">
        <f t="shared" si="52"/>
        <v>126874</v>
      </c>
      <c r="H440" s="182">
        <f t="shared" si="52"/>
        <v>88091</v>
      </c>
      <c r="I440" s="182">
        <f t="shared" si="52"/>
        <v>137956.9278</v>
      </c>
      <c r="J440" s="182">
        <f t="shared" si="52"/>
        <v>149547.73772</v>
      </c>
      <c r="K440" s="182">
        <f t="shared" si="52"/>
        <v>172626</v>
      </c>
      <c r="R440" s="180"/>
    </row>
    <row r="441" spans="1:18" x14ac:dyDescent="0.25">
      <c r="A441" s="158">
        <v>520.01</v>
      </c>
      <c r="B441" s="159" t="s">
        <v>161</v>
      </c>
      <c r="C441" s="178"/>
      <c r="D441" s="156"/>
      <c r="E441" s="156"/>
      <c r="F441" s="156"/>
      <c r="G441" s="202">
        <v>50</v>
      </c>
      <c r="H441" s="202">
        <v>0</v>
      </c>
      <c r="I441" s="121">
        <v>50</v>
      </c>
      <c r="J441" s="121">
        <v>50</v>
      </c>
      <c r="K441" s="121">
        <v>50</v>
      </c>
    </row>
    <row r="442" spans="1:18" x14ac:dyDescent="0.25">
      <c r="A442" s="158">
        <v>520.02</v>
      </c>
      <c r="B442" s="159" t="s">
        <v>196</v>
      </c>
      <c r="C442" s="178"/>
      <c r="D442" s="156"/>
      <c r="E442" s="156"/>
      <c r="F442" s="156"/>
      <c r="G442" s="202">
        <v>180</v>
      </c>
      <c r="H442" s="202">
        <v>90</v>
      </c>
      <c r="I442" s="121">
        <v>180</v>
      </c>
      <c r="J442" s="121">
        <v>150</v>
      </c>
      <c r="K442" s="121">
        <v>150</v>
      </c>
    </row>
    <row r="443" spans="1:18" x14ac:dyDescent="0.25">
      <c r="A443" s="158">
        <v>520.03</v>
      </c>
      <c r="B443" s="159" t="s">
        <v>894</v>
      </c>
      <c r="C443" s="178"/>
      <c r="D443" s="156"/>
      <c r="E443" s="156"/>
      <c r="F443" s="156"/>
      <c r="G443" s="202">
        <v>0</v>
      </c>
      <c r="H443" s="202">
        <v>45</v>
      </c>
      <c r="I443" s="121">
        <v>100</v>
      </c>
      <c r="J443" s="121">
        <v>100</v>
      </c>
      <c r="K443" s="121">
        <v>100</v>
      </c>
    </row>
    <row r="444" spans="1:18" x14ac:dyDescent="0.25">
      <c r="A444" s="158">
        <v>520.04</v>
      </c>
      <c r="B444" s="159" t="s">
        <v>197</v>
      </c>
      <c r="C444" s="178">
        <v>500</v>
      </c>
      <c r="D444" s="156">
        <v>348</v>
      </c>
      <c r="E444" s="156">
        <v>522</v>
      </c>
      <c r="F444" s="156">
        <v>1950</v>
      </c>
      <c r="G444" s="202">
        <v>2100</v>
      </c>
      <c r="H444" s="121">
        <v>1470</v>
      </c>
      <c r="I444" s="121">
        <f>+H444+800</f>
        <v>2270</v>
      </c>
      <c r="J444" s="121">
        <v>2270</v>
      </c>
      <c r="K444" s="121">
        <v>2850</v>
      </c>
    </row>
    <row r="445" spans="1:18" x14ac:dyDescent="0.25">
      <c r="A445" s="158">
        <v>520.05999999999995</v>
      </c>
      <c r="B445" s="159" t="s">
        <v>231</v>
      </c>
      <c r="C445" s="178">
        <v>6000</v>
      </c>
      <c r="D445" s="156">
        <v>5027</v>
      </c>
      <c r="E445" s="156">
        <v>7540</v>
      </c>
      <c r="F445" s="156">
        <v>3100</v>
      </c>
      <c r="G445" s="202">
        <v>1900</v>
      </c>
      <c r="H445" s="202">
        <v>1487</v>
      </c>
      <c r="I445" s="121">
        <v>2250</v>
      </c>
      <c r="J445" s="121">
        <v>2250</v>
      </c>
      <c r="K445" s="121">
        <v>2250</v>
      </c>
    </row>
    <row r="446" spans="1:18" x14ac:dyDescent="0.25">
      <c r="A446" s="158">
        <v>520.07000000000005</v>
      </c>
      <c r="B446" s="159" t="s">
        <v>211</v>
      </c>
      <c r="C446" s="178">
        <v>500</v>
      </c>
      <c r="D446" s="156">
        <v>1034</v>
      </c>
      <c r="E446" s="156">
        <v>1550</v>
      </c>
      <c r="F446" s="156">
        <v>600</v>
      </c>
      <c r="G446" s="202">
        <v>650</v>
      </c>
      <c r="H446" s="202">
        <v>990</v>
      </c>
      <c r="I446" s="121">
        <v>1000</v>
      </c>
      <c r="J446" s="121">
        <v>1000</v>
      </c>
      <c r="K446" s="121">
        <v>1000</v>
      </c>
      <c r="M446" s="179"/>
    </row>
    <row r="447" spans="1:18" x14ac:dyDescent="0.25">
      <c r="A447" s="158">
        <v>520.08000000000004</v>
      </c>
      <c r="B447" s="159" t="s">
        <v>200</v>
      </c>
      <c r="C447" s="178">
        <v>4000</v>
      </c>
      <c r="D447" s="156">
        <v>1665</v>
      </c>
      <c r="E447" s="156">
        <v>2500</v>
      </c>
      <c r="F447" s="156">
        <v>400</v>
      </c>
      <c r="G447" s="202">
        <v>800</v>
      </c>
      <c r="H447" s="202">
        <v>0</v>
      </c>
      <c r="I447" s="121">
        <v>500</v>
      </c>
      <c r="J447" s="121">
        <v>500</v>
      </c>
      <c r="K447" s="121">
        <v>500</v>
      </c>
    </row>
    <row r="448" spans="1:18" x14ac:dyDescent="0.25">
      <c r="A448" s="158">
        <v>520.09</v>
      </c>
      <c r="B448" s="159" t="s">
        <v>212</v>
      </c>
      <c r="C448" s="178">
        <v>5000</v>
      </c>
      <c r="D448" s="156">
        <v>9743</v>
      </c>
      <c r="E448" s="156">
        <v>14691</v>
      </c>
      <c r="F448" s="156">
        <v>2000</v>
      </c>
      <c r="G448" s="202">
        <v>1400</v>
      </c>
      <c r="H448" s="202">
        <v>517</v>
      </c>
      <c r="I448" s="121">
        <v>1000</v>
      </c>
      <c r="J448" s="121">
        <f>SUM('Budget Req-Park'!E30)</f>
        <v>1300</v>
      </c>
      <c r="K448" s="121">
        <v>1300</v>
      </c>
      <c r="M448" s="157"/>
    </row>
    <row r="449" spans="1:13" s="179" customFormat="1" x14ac:dyDescent="0.25">
      <c r="A449" s="158">
        <v>520.1</v>
      </c>
      <c r="B449" s="159" t="s">
        <v>216</v>
      </c>
      <c r="C449" s="178">
        <v>5000</v>
      </c>
      <c r="D449" s="156">
        <v>4819</v>
      </c>
      <c r="E449" s="156">
        <v>7230</v>
      </c>
      <c r="F449" s="156">
        <v>500</v>
      </c>
      <c r="G449" s="202">
        <v>2000</v>
      </c>
      <c r="H449" s="202">
        <v>1904</v>
      </c>
      <c r="I449" s="121">
        <v>2000</v>
      </c>
      <c r="J449" s="121">
        <v>2000</v>
      </c>
      <c r="K449" s="121">
        <v>2000</v>
      </c>
      <c r="L449" s="96"/>
      <c r="M449" s="96"/>
    </row>
    <row r="450" spans="1:13" x14ac:dyDescent="0.25">
      <c r="A450" s="284">
        <v>520.11</v>
      </c>
      <c r="B450" s="285" t="s">
        <v>22</v>
      </c>
      <c r="C450" s="178">
        <v>4000</v>
      </c>
      <c r="D450" s="178">
        <v>1254</v>
      </c>
      <c r="E450" s="178">
        <v>2000</v>
      </c>
      <c r="F450" s="156">
        <v>800</v>
      </c>
      <c r="G450" s="286">
        <v>1000</v>
      </c>
      <c r="H450" s="286">
        <v>1621</v>
      </c>
      <c r="I450" s="147">
        <v>1700</v>
      </c>
      <c r="J450" s="147">
        <f>SUM('Budget Req-Park'!E32)</f>
        <v>1000</v>
      </c>
      <c r="K450" s="147">
        <v>1000</v>
      </c>
    </row>
    <row r="451" spans="1:13" s="157" customFormat="1" ht="18.75" thickBot="1" x14ac:dyDescent="0.3">
      <c r="A451" s="287" t="s">
        <v>697</v>
      </c>
      <c r="B451" s="288"/>
      <c r="C451" s="277"/>
      <c r="D451" s="277"/>
      <c r="E451" s="277"/>
      <c r="F451" s="278">
        <f>SUM(F444:F450)</f>
        <v>9350</v>
      </c>
      <c r="G451" s="182">
        <f>SUM(G441:G450)</f>
        <v>10080</v>
      </c>
      <c r="H451" s="182">
        <f t="shared" ref="H451:J451" si="53">SUM(H441:H450)</f>
        <v>8124</v>
      </c>
      <c r="I451" s="182">
        <f t="shared" si="53"/>
        <v>11050</v>
      </c>
      <c r="J451" s="182">
        <f t="shared" si="53"/>
        <v>10620</v>
      </c>
      <c r="K451" s="182">
        <f>SUM(K441:K450)</f>
        <v>11200</v>
      </c>
      <c r="L451" s="96"/>
      <c r="M451" s="96"/>
    </row>
    <row r="452" spans="1:13" x14ac:dyDescent="0.25">
      <c r="A452" s="158">
        <v>530.01</v>
      </c>
      <c r="B452" s="159" t="s">
        <v>201</v>
      </c>
      <c r="C452" s="178">
        <v>2000</v>
      </c>
      <c r="D452" s="156">
        <v>250</v>
      </c>
      <c r="E452" s="156">
        <v>250</v>
      </c>
      <c r="F452" s="156">
        <v>800</v>
      </c>
      <c r="G452" s="121">
        <v>1080</v>
      </c>
      <c r="H452" s="202">
        <v>635</v>
      </c>
      <c r="I452" s="121">
        <v>1200</v>
      </c>
      <c r="J452" s="121">
        <v>1300</v>
      </c>
      <c r="K452" s="121">
        <v>1300</v>
      </c>
      <c r="L452" s="146"/>
    </row>
    <row r="453" spans="1:13" x14ac:dyDescent="0.25">
      <c r="A453" s="158">
        <v>530.02</v>
      </c>
      <c r="B453" s="159" t="s">
        <v>238</v>
      </c>
      <c r="C453" s="178">
        <v>4000</v>
      </c>
      <c r="D453" s="156">
        <v>942</v>
      </c>
      <c r="E453" s="156">
        <v>1410</v>
      </c>
      <c r="F453" s="156">
        <v>250</v>
      </c>
      <c r="G453" s="121">
        <v>50</v>
      </c>
      <c r="H453" s="202">
        <v>0</v>
      </c>
      <c r="I453" s="121">
        <v>50</v>
      </c>
      <c r="J453" s="121">
        <v>50</v>
      </c>
      <c r="K453" s="121">
        <v>50</v>
      </c>
      <c r="M453" s="146"/>
    </row>
    <row r="454" spans="1:13" x14ac:dyDescent="0.25">
      <c r="A454" s="138">
        <v>530.03</v>
      </c>
      <c r="B454" s="116" t="s">
        <v>605</v>
      </c>
      <c r="C454" s="144"/>
      <c r="D454" s="145"/>
      <c r="E454" s="145"/>
      <c r="F454" s="145">
        <v>0</v>
      </c>
      <c r="G454" s="120">
        <v>0</v>
      </c>
      <c r="H454" s="139">
        <v>17</v>
      </c>
      <c r="I454" s="120">
        <v>50</v>
      </c>
      <c r="J454" s="120">
        <v>50</v>
      </c>
      <c r="K454" s="121">
        <v>50</v>
      </c>
      <c r="M454" s="146"/>
    </row>
    <row r="455" spans="1:13" x14ac:dyDescent="0.25">
      <c r="A455" s="138">
        <v>530.09</v>
      </c>
      <c r="B455" s="116" t="s">
        <v>258</v>
      </c>
      <c r="C455" s="144">
        <v>500</v>
      </c>
      <c r="D455" s="145">
        <v>0</v>
      </c>
      <c r="E455" s="145">
        <v>0</v>
      </c>
      <c r="F455" s="145">
        <v>100</v>
      </c>
      <c r="G455" s="120">
        <v>600</v>
      </c>
      <c r="H455" s="139">
        <v>140</v>
      </c>
      <c r="I455" s="120">
        <v>400</v>
      </c>
      <c r="J455" s="120">
        <v>400</v>
      </c>
      <c r="K455" s="120">
        <v>400</v>
      </c>
      <c r="L455" s="146"/>
      <c r="M455" s="146"/>
    </row>
    <row r="456" spans="1:13" x14ac:dyDescent="0.25">
      <c r="A456" s="141">
        <v>530.11</v>
      </c>
      <c r="B456" s="125" t="s">
        <v>2</v>
      </c>
      <c r="C456" s="118">
        <v>400</v>
      </c>
      <c r="D456" s="145">
        <v>0</v>
      </c>
      <c r="E456" s="145">
        <v>0</v>
      </c>
      <c r="F456" s="119">
        <v>11250</v>
      </c>
      <c r="G456" s="129">
        <v>16500</v>
      </c>
      <c r="H456" s="205">
        <v>10355</v>
      </c>
      <c r="I456" s="129">
        <v>18000</v>
      </c>
      <c r="J456" s="129">
        <v>18000</v>
      </c>
      <c r="K456" s="129">
        <v>18000</v>
      </c>
      <c r="M456" s="146"/>
    </row>
    <row r="457" spans="1:13" s="146" customFormat="1" ht="18.75" thickBot="1" x14ac:dyDescent="0.3">
      <c r="A457" s="142" t="s">
        <v>167</v>
      </c>
      <c r="B457" s="148"/>
      <c r="C457" s="149"/>
      <c r="D457" s="150"/>
      <c r="E457" s="150"/>
      <c r="F457" s="150">
        <f t="shared" ref="F457:K457" si="54">SUM(F452:F456)</f>
        <v>12400</v>
      </c>
      <c r="G457" s="136">
        <f t="shared" si="54"/>
        <v>18230</v>
      </c>
      <c r="H457" s="136">
        <f t="shared" si="54"/>
        <v>11147</v>
      </c>
      <c r="I457" s="136">
        <f t="shared" si="54"/>
        <v>19700</v>
      </c>
      <c r="J457" s="136">
        <f t="shared" si="54"/>
        <v>19800</v>
      </c>
      <c r="K457" s="182">
        <f t="shared" si="54"/>
        <v>19800</v>
      </c>
      <c r="M457" s="96"/>
    </row>
    <row r="458" spans="1:13" s="146" customFormat="1" x14ac:dyDescent="0.25">
      <c r="A458" s="186">
        <v>540.01</v>
      </c>
      <c r="B458" s="116" t="s">
        <v>337</v>
      </c>
      <c r="C458" s="118">
        <v>3000</v>
      </c>
      <c r="D458" s="145">
        <v>1868</v>
      </c>
      <c r="E458" s="145">
        <v>2800</v>
      </c>
      <c r="F458" s="119">
        <v>2500</v>
      </c>
      <c r="G458" s="139">
        <v>1500</v>
      </c>
      <c r="H458" s="139">
        <v>1492</v>
      </c>
      <c r="I458" s="120">
        <v>1500</v>
      </c>
      <c r="J458" s="202">
        <v>1500</v>
      </c>
      <c r="K458" s="121">
        <v>1500</v>
      </c>
      <c r="M458" s="96"/>
    </row>
    <row r="459" spans="1:13" s="146" customFormat="1" x14ac:dyDescent="0.25">
      <c r="A459" s="186">
        <v>540.03</v>
      </c>
      <c r="B459" s="116" t="s">
        <v>338</v>
      </c>
      <c r="C459" s="118"/>
      <c r="D459" s="145"/>
      <c r="E459" s="145"/>
      <c r="F459" s="119">
        <v>3000</v>
      </c>
      <c r="G459" s="139">
        <v>250</v>
      </c>
      <c r="H459" s="139">
        <v>0</v>
      </c>
      <c r="I459" s="120">
        <v>250</v>
      </c>
      <c r="J459" s="120">
        <f>SUM('Budget Req-Park'!E34)</f>
        <v>500</v>
      </c>
      <c r="K459" s="121">
        <v>500</v>
      </c>
      <c r="L459" s="96"/>
      <c r="M459" s="96"/>
    </row>
    <row r="460" spans="1:13" s="146" customFormat="1" x14ac:dyDescent="0.25">
      <c r="A460" s="254">
        <v>540.07000000000005</v>
      </c>
      <c r="B460" s="125" t="s">
        <v>216</v>
      </c>
      <c r="C460" s="118"/>
      <c r="D460" s="145"/>
      <c r="E460" s="145"/>
      <c r="F460" s="119">
        <v>500</v>
      </c>
      <c r="G460" s="205">
        <v>0</v>
      </c>
      <c r="H460" s="286">
        <v>48</v>
      </c>
      <c r="I460" s="129">
        <v>50</v>
      </c>
      <c r="J460" s="205">
        <v>50</v>
      </c>
      <c r="K460" s="147">
        <v>50</v>
      </c>
      <c r="L460" s="96"/>
      <c r="M460" s="96"/>
    </row>
    <row r="461" spans="1:13" ht="18.75" thickBot="1" x14ac:dyDescent="0.3">
      <c r="A461" s="256" t="s">
        <v>259</v>
      </c>
      <c r="B461" s="257"/>
      <c r="C461" s="149"/>
      <c r="D461" s="150"/>
      <c r="E461" s="150"/>
      <c r="F461" s="150">
        <f t="shared" ref="F461:K461" si="55">SUM(F458:F460)</f>
        <v>6000</v>
      </c>
      <c r="G461" s="136">
        <f t="shared" si="55"/>
        <v>1750</v>
      </c>
      <c r="H461" s="136">
        <f t="shared" si="55"/>
        <v>1540</v>
      </c>
      <c r="I461" s="136">
        <f t="shared" si="55"/>
        <v>1800</v>
      </c>
      <c r="J461" s="136">
        <f t="shared" si="55"/>
        <v>2050</v>
      </c>
      <c r="K461" s="136">
        <f t="shared" si="55"/>
        <v>2050</v>
      </c>
      <c r="M461" s="146"/>
    </row>
    <row r="462" spans="1:13" x14ac:dyDescent="0.25">
      <c r="A462" s="138">
        <v>550.03</v>
      </c>
      <c r="B462" s="116" t="s">
        <v>241</v>
      </c>
      <c r="C462" s="144">
        <v>3000</v>
      </c>
      <c r="D462" s="144">
        <v>0</v>
      </c>
      <c r="E462" s="144">
        <v>0</v>
      </c>
      <c r="F462" s="145">
        <v>400</v>
      </c>
      <c r="G462" s="120">
        <v>1300</v>
      </c>
      <c r="H462" s="120">
        <v>1847</v>
      </c>
      <c r="I462" s="120">
        <v>2000</v>
      </c>
      <c r="J462" s="120">
        <v>2000</v>
      </c>
      <c r="K462" s="120">
        <v>2000</v>
      </c>
    </row>
    <row r="463" spans="1:13" x14ac:dyDescent="0.25">
      <c r="A463" s="138">
        <v>550.04</v>
      </c>
      <c r="B463" s="116" t="s">
        <v>205</v>
      </c>
      <c r="C463" s="320">
        <v>0</v>
      </c>
      <c r="D463" s="165">
        <v>0</v>
      </c>
      <c r="E463" s="165">
        <v>0</v>
      </c>
      <c r="F463" s="145">
        <v>1000</v>
      </c>
      <c r="G463" s="120">
        <v>500</v>
      </c>
      <c r="H463" s="120">
        <v>867</v>
      </c>
      <c r="I463" s="120">
        <v>1000</v>
      </c>
      <c r="J463" s="120">
        <v>1500</v>
      </c>
      <c r="K463" s="120">
        <v>1500</v>
      </c>
    </row>
    <row r="464" spans="1:13" x14ac:dyDescent="0.25">
      <c r="A464" s="141">
        <v>550.09</v>
      </c>
      <c r="B464" s="125" t="s">
        <v>898</v>
      </c>
      <c r="C464" s="321"/>
      <c r="D464" s="165"/>
      <c r="E464" s="165"/>
      <c r="F464" s="145"/>
      <c r="G464" s="129">
        <v>400</v>
      </c>
      <c r="H464" s="129">
        <v>29</v>
      </c>
      <c r="I464" s="129">
        <v>200</v>
      </c>
      <c r="J464" s="129">
        <v>200</v>
      </c>
      <c r="K464" s="129">
        <v>200</v>
      </c>
    </row>
    <row r="465" spans="1:13" s="146" customFormat="1" ht="18.75" thickBot="1" x14ac:dyDescent="0.3">
      <c r="A465" s="142" t="s">
        <v>233</v>
      </c>
      <c r="B465" s="148"/>
      <c r="C465" s="322"/>
      <c r="D465" s="322"/>
      <c r="E465" s="322"/>
      <c r="F465" s="150">
        <f>SUM(F462:F463)</f>
        <v>1400</v>
      </c>
      <c r="G465" s="136">
        <f>SUM(G462:G464)</f>
        <v>2200</v>
      </c>
      <c r="H465" s="136">
        <f t="shared" ref="H465:J465" si="56">SUM(H462:H464)</f>
        <v>2743</v>
      </c>
      <c r="I465" s="136">
        <f t="shared" si="56"/>
        <v>3200</v>
      </c>
      <c r="J465" s="136">
        <f t="shared" si="56"/>
        <v>3700</v>
      </c>
      <c r="K465" s="136">
        <f>SUM(K462:K464)</f>
        <v>3700</v>
      </c>
      <c r="L465" s="96"/>
      <c r="M465" s="96"/>
    </row>
    <row r="466" spans="1:13" x14ac:dyDescent="0.25">
      <c r="A466" s="138">
        <v>560.09</v>
      </c>
      <c r="B466" s="116" t="s">
        <v>496</v>
      </c>
      <c r="C466" s="321"/>
      <c r="D466" s="165"/>
      <c r="E466" s="165"/>
      <c r="F466" s="145"/>
      <c r="G466" s="120">
        <v>100</v>
      </c>
      <c r="H466" s="120">
        <v>125</v>
      </c>
      <c r="I466" s="120">
        <v>125</v>
      </c>
      <c r="J466" s="120">
        <v>125</v>
      </c>
      <c r="K466" s="120">
        <v>280</v>
      </c>
    </row>
    <row r="467" spans="1:13" ht="15.75" customHeight="1" x14ac:dyDescent="0.25">
      <c r="A467" s="141">
        <v>560.1</v>
      </c>
      <c r="B467" s="125" t="s">
        <v>217</v>
      </c>
      <c r="C467" s="321"/>
      <c r="D467" s="165"/>
      <c r="E467" s="165"/>
      <c r="F467" s="145">
        <v>200</v>
      </c>
      <c r="G467" s="129">
        <v>100</v>
      </c>
      <c r="H467" s="129">
        <v>0</v>
      </c>
      <c r="I467" s="129">
        <v>100</v>
      </c>
      <c r="J467" s="129">
        <v>100</v>
      </c>
      <c r="K467" s="129">
        <v>100</v>
      </c>
    </row>
    <row r="468" spans="1:13" ht="18.75" thickBot="1" x14ac:dyDescent="0.3">
      <c r="A468" s="142" t="s">
        <v>178</v>
      </c>
      <c r="B468" s="148"/>
      <c r="C468" s="322"/>
      <c r="D468" s="322"/>
      <c r="E468" s="322"/>
      <c r="F468" s="150">
        <f>SUM(F467)</f>
        <v>200</v>
      </c>
      <c r="G468" s="136">
        <f>SUM(G466:G467)</f>
        <v>200</v>
      </c>
      <c r="H468" s="136">
        <f>SUM(H466:H467)</f>
        <v>125</v>
      </c>
      <c r="I468" s="136">
        <f>SUM(I466:I467)</f>
        <v>225</v>
      </c>
      <c r="J468" s="136">
        <f>SUM(J466:J467)</f>
        <v>225</v>
      </c>
      <c r="K468" s="136">
        <f>SUM(K466:K467)</f>
        <v>380</v>
      </c>
      <c r="M468" s="157"/>
    </row>
    <row r="469" spans="1:13" x14ac:dyDescent="0.25">
      <c r="A469" s="138">
        <v>580.01</v>
      </c>
      <c r="B469" s="116" t="s">
        <v>182</v>
      </c>
      <c r="C469" s="321"/>
      <c r="D469" s="165"/>
      <c r="E469" s="165"/>
      <c r="F469" s="145"/>
      <c r="G469" s="120">
        <v>0</v>
      </c>
      <c r="H469" s="120">
        <v>0</v>
      </c>
      <c r="I469" s="120">
        <v>0</v>
      </c>
      <c r="J469" s="120">
        <f>SUM('Budget Req-Park'!E36)</f>
        <v>8000</v>
      </c>
      <c r="K469" s="120">
        <v>8000</v>
      </c>
    </row>
    <row r="470" spans="1:13" x14ac:dyDescent="0.25">
      <c r="A470" s="141">
        <v>580.20000000000005</v>
      </c>
      <c r="B470" s="125" t="s">
        <v>261</v>
      </c>
      <c r="C470" s="321"/>
      <c r="D470" s="165"/>
      <c r="E470" s="165"/>
      <c r="F470" s="145">
        <v>24890</v>
      </c>
      <c r="G470" s="129">
        <v>23190</v>
      </c>
      <c r="H470" s="129">
        <v>0</v>
      </c>
      <c r="I470" s="129">
        <v>23190</v>
      </c>
      <c r="J470" s="129">
        <f>SUM('Budget Req-Park'!E40)</f>
        <v>0</v>
      </c>
      <c r="K470" s="129">
        <v>0</v>
      </c>
    </row>
    <row r="471" spans="1:13" x14ac:dyDescent="0.25">
      <c r="A471" s="323" t="s">
        <v>260</v>
      </c>
      <c r="B471" s="324"/>
      <c r="C471" s="321"/>
      <c r="D471" s="165"/>
      <c r="E471" s="165"/>
      <c r="F471" s="145">
        <f>SUM(F470)</f>
        <v>24890</v>
      </c>
      <c r="G471" s="210">
        <f>SUM(G469:G470)</f>
        <v>23190</v>
      </c>
      <c r="H471" s="210">
        <f>SUM(H469:H470)</f>
        <v>0</v>
      </c>
      <c r="I471" s="210">
        <f>SUM(I469:I470)</f>
        <v>23190</v>
      </c>
      <c r="J471" s="210">
        <f>SUM(J469:J470)</f>
        <v>8000</v>
      </c>
      <c r="K471" s="210">
        <f>SUM(K469:K470)</f>
        <v>8000</v>
      </c>
      <c r="M471" s="157"/>
    </row>
    <row r="472" spans="1:13" s="157" customFormat="1" x14ac:dyDescent="0.25">
      <c r="A472" s="183">
        <v>590.01</v>
      </c>
      <c r="B472" s="108" t="s">
        <v>203</v>
      </c>
      <c r="C472" s="321"/>
      <c r="D472" s="165"/>
      <c r="E472" s="165"/>
      <c r="F472" s="145"/>
      <c r="G472" s="113">
        <v>0</v>
      </c>
      <c r="H472" s="113">
        <v>0</v>
      </c>
      <c r="I472" s="113">
        <v>0</v>
      </c>
      <c r="J472" s="112">
        <v>0</v>
      </c>
      <c r="K472" s="113">
        <v>0</v>
      </c>
      <c r="L472" s="96"/>
      <c r="M472" s="146"/>
    </row>
    <row r="473" spans="1:13" s="157" customFormat="1" x14ac:dyDescent="0.25">
      <c r="A473" s="141">
        <v>590.02</v>
      </c>
      <c r="B473" s="125" t="s">
        <v>204</v>
      </c>
      <c r="C473" s="321"/>
      <c r="D473" s="165"/>
      <c r="E473" s="165"/>
      <c r="F473" s="145">
        <v>0</v>
      </c>
      <c r="G473" s="129">
        <v>0</v>
      </c>
      <c r="H473" s="129">
        <v>0</v>
      </c>
      <c r="I473" s="129">
        <v>0</v>
      </c>
      <c r="J473" s="147">
        <v>0</v>
      </c>
      <c r="K473" s="129">
        <v>0</v>
      </c>
      <c r="L473" s="96"/>
      <c r="M473" s="146"/>
    </row>
    <row r="474" spans="1:13" ht="18.75" thickBot="1" x14ac:dyDescent="0.3">
      <c r="A474" s="291" t="s">
        <v>262</v>
      </c>
      <c r="B474" s="292"/>
      <c r="C474" s="494"/>
      <c r="D474" s="495"/>
      <c r="E474" s="495"/>
      <c r="F474" s="156">
        <f>SUM(F473)</f>
        <v>0</v>
      </c>
      <c r="G474" s="112">
        <f>SUM(G472:G473)</f>
        <v>0</v>
      </c>
      <c r="H474" s="112">
        <f>SUM(H472:H473)</f>
        <v>0</v>
      </c>
      <c r="I474" s="112">
        <f>SUM(I472:I473)</f>
        <v>0</v>
      </c>
      <c r="J474" s="112">
        <f>SUM(J472:J473)</f>
        <v>0</v>
      </c>
      <c r="K474" s="112">
        <f>SUM(K472:K473)</f>
        <v>0</v>
      </c>
      <c r="M474" s="146"/>
    </row>
    <row r="475" spans="1:13" s="157" customFormat="1" ht="18.75" thickBot="1" x14ac:dyDescent="0.3">
      <c r="A475" s="524" t="s">
        <v>9</v>
      </c>
      <c r="B475" s="525"/>
      <c r="C475" s="445">
        <f>SUM(C434:C463)</f>
        <v>48400</v>
      </c>
      <c r="D475" s="469">
        <f>SUM(D434:D463)</f>
        <v>33029</v>
      </c>
      <c r="E475" s="469">
        <f>SUM(E434:E463)</f>
        <v>49623</v>
      </c>
      <c r="F475" s="446">
        <f t="shared" ref="F475:K475" si="57">SUM(F440+F451+F457+F461+F465+F468+F471+F474)</f>
        <v>140999.91</v>
      </c>
      <c r="G475" s="447">
        <f t="shared" si="57"/>
        <v>182524</v>
      </c>
      <c r="H475" s="447">
        <f t="shared" si="57"/>
        <v>111770</v>
      </c>
      <c r="I475" s="447">
        <f t="shared" si="57"/>
        <v>197121.9278</v>
      </c>
      <c r="J475" s="447">
        <f t="shared" si="57"/>
        <v>193942.73772</v>
      </c>
      <c r="K475" s="447">
        <f t="shared" si="57"/>
        <v>217756</v>
      </c>
      <c r="L475" s="96"/>
      <c r="M475" s="96"/>
    </row>
    <row r="476" spans="1:13" s="157" customFormat="1" x14ac:dyDescent="0.25">
      <c r="A476" s="487"/>
      <c r="B476" s="487"/>
      <c r="C476" s="460"/>
      <c r="D476" s="489"/>
      <c r="E476" s="489"/>
      <c r="F476" s="490"/>
      <c r="G476" s="346"/>
      <c r="H476" s="346"/>
      <c r="I476" s="346"/>
      <c r="J476" s="310"/>
      <c r="K476" s="310"/>
      <c r="L476" s="96"/>
      <c r="M476" s="96"/>
    </row>
    <row r="477" spans="1:13" s="157" customFormat="1" ht="21.75" customHeight="1" x14ac:dyDescent="0.25">
      <c r="A477" s="98"/>
      <c r="B477" s="98"/>
      <c r="C477" s="98"/>
      <c r="D477" s="98"/>
      <c r="E477" s="98"/>
      <c r="F477" s="98"/>
      <c r="G477" s="163"/>
      <c r="H477" s="163"/>
      <c r="I477" s="163"/>
      <c r="J477" s="163"/>
      <c r="K477" s="163"/>
      <c r="L477" s="96"/>
      <c r="M477" s="96"/>
    </row>
    <row r="478" spans="1:13" s="157" customFormat="1" ht="15.75" customHeight="1" x14ac:dyDescent="0.25">
      <c r="A478" s="325" t="s">
        <v>1081</v>
      </c>
      <c r="B478" s="326"/>
      <c r="C478" s="327"/>
      <c r="D478" s="328"/>
      <c r="E478" s="328"/>
      <c r="F478" s="329"/>
      <c r="G478" s="172"/>
      <c r="H478" s="173"/>
      <c r="I478" s="172" t="str">
        <f>+I2</f>
        <v xml:space="preserve"> Estimated</v>
      </c>
      <c r="J478" s="172" t="s">
        <v>1093</v>
      </c>
      <c r="K478" s="172" t="s">
        <v>1075</v>
      </c>
      <c r="L478" s="96"/>
      <c r="M478" s="96"/>
    </row>
    <row r="479" spans="1:13" s="157" customFormat="1" ht="16.5" customHeight="1" x14ac:dyDescent="0.25">
      <c r="A479" s="103" t="s">
        <v>263</v>
      </c>
      <c r="B479" s="174"/>
      <c r="C479" s="330" t="s">
        <v>27</v>
      </c>
      <c r="D479" s="330" t="s">
        <v>30</v>
      </c>
      <c r="E479" s="330" t="s">
        <v>29</v>
      </c>
      <c r="F479" s="330" t="s">
        <v>405</v>
      </c>
      <c r="G479" s="175" t="str">
        <f>+G3</f>
        <v>Budget 2016-17</v>
      </c>
      <c r="H479" s="175" t="str">
        <f>+H3</f>
        <v>Actual 5/31/17</v>
      </c>
      <c r="I479" s="331">
        <v>43008</v>
      </c>
      <c r="J479" s="175" t="str">
        <f>+J3</f>
        <v>Budget 2017-18</v>
      </c>
      <c r="K479" s="175" t="s">
        <v>1076</v>
      </c>
      <c r="L479" s="96"/>
      <c r="M479" s="96"/>
    </row>
    <row r="480" spans="1:13" s="157" customFormat="1" ht="17.45" customHeight="1" x14ac:dyDescent="0.25">
      <c r="A480" s="449" t="s">
        <v>264</v>
      </c>
      <c r="B480" s="439" t="s">
        <v>5</v>
      </c>
      <c r="C480" s="178">
        <v>16800</v>
      </c>
      <c r="D480" s="156">
        <v>10713</v>
      </c>
      <c r="E480" s="178">
        <v>16800</v>
      </c>
      <c r="F480" s="156">
        <v>22072</v>
      </c>
      <c r="G480" s="306">
        <v>34621</v>
      </c>
      <c r="H480" s="306">
        <v>24680</v>
      </c>
      <c r="I480" s="112">
        <f>+H480+(2700*4)</f>
        <v>35480</v>
      </c>
      <c r="J480" s="112">
        <f>SUM('Personnel Sched-Muni Court'!K13)*1.02</f>
        <v>38517.648000000001</v>
      </c>
      <c r="K480" s="112">
        <v>38852</v>
      </c>
      <c r="L480" s="96"/>
      <c r="M480" s="96"/>
    </row>
    <row r="481" spans="1:13" s="157" customFormat="1" ht="16.5" customHeight="1" x14ac:dyDescent="0.25">
      <c r="A481" s="158">
        <v>510.03</v>
      </c>
      <c r="B481" s="159" t="s">
        <v>155</v>
      </c>
      <c r="C481" s="178">
        <v>1302</v>
      </c>
      <c r="D481" s="156">
        <v>819</v>
      </c>
      <c r="E481" s="178">
        <v>1180</v>
      </c>
      <c r="F481" s="156">
        <v>20000</v>
      </c>
      <c r="G481" s="202">
        <v>26000</v>
      </c>
      <c r="H481" s="202">
        <v>11677</v>
      </c>
      <c r="I481" s="121">
        <v>25000</v>
      </c>
      <c r="J481" s="121">
        <f>SUM('Budget Req-Muni Court'!E11)</f>
        <v>26000</v>
      </c>
      <c r="K481" s="121">
        <v>20000</v>
      </c>
      <c r="L481" s="96"/>
      <c r="M481" s="96"/>
    </row>
    <row r="482" spans="1:13" s="157" customFormat="1" ht="17.45" customHeight="1" x14ac:dyDescent="0.25">
      <c r="A482" s="158">
        <v>510.05</v>
      </c>
      <c r="B482" s="159" t="s">
        <v>194</v>
      </c>
      <c r="C482" s="178">
        <v>900</v>
      </c>
      <c r="D482" s="156">
        <v>555</v>
      </c>
      <c r="E482" s="178">
        <v>840</v>
      </c>
      <c r="F482" s="156">
        <v>6499</v>
      </c>
      <c r="G482" s="202">
        <v>7657</v>
      </c>
      <c r="H482" s="202">
        <v>4291</v>
      </c>
      <c r="I482" s="121">
        <f>+H482+3600</f>
        <v>7891</v>
      </c>
      <c r="J482" s="121">
        <f>SUM('Budget Req-Muni Court'!E18)</f>
        <v>8501.4763600000006</v>
      </c>
      <c r="K482" s="121">
        <v>8507</v>
      </c>
      <c r="L482" s="96"/>
      <c r="M482" s="96"/>
    </row>
    <row r="483" spans="1:13" s="157" customFormat="1" ht="17.45" customHeight="1" x14ac:dyDescent="0.25">
      <c r="A483" s="158">
        <v>510.06</v>
      </c>
      <c r="B483" s="159" t="s">
        <v>19</v>
      </c>
      <c r="C483" s="178">
        <v>4000</v>
      </c>
      <c r="D483" s="156">
        <v>2834</v>
      </c>
      <c r="E483" s="178">
        <v>4250</v>
      </c>
      <c r="F483" s="156">
        <v>1688.51</v>
      </c>
      <c r="G483" s="202">
        <v>2648</v>
      </c>
      <c r="H483" s="202">
        <v>1790</v>
      </c>
      <c r="I483" s="121">
        <f>+I480*0.08</f>
        <v>2838.4</v>
      </c>
      <c r="J483" s="121">
        <f>SUM('Budget Req-Muni Court'!E20)</f>
        <v>2888.8236000000002</v>
      </c>
      <c r="K483" s="121">
        <v>2972</v>
      </c>
      <c r="L483" s="96"/>
      <c r="M483" s="96"/>
    </row>
    <row r="484" spans="1:13" s="332" customFormat="1" ht="17.45" customHeight="1" x14ac:dyDescent="0.25">
      <c r="A484" s="158">
        <v>510.07</v>
      </c>
      <c r="B484" s="159" t="s">
        <v>158</v>
      </c>
      <c r="C484" s="178">
        <v>18170</v>
      </c>
      <c r="D484" s="156">
        <v>12120</v>
      </c>
      <c r="E484" s="178">
        <v>18180</v>
      </c>
      <c r="F484" s="156">
        <v>938.06</v>
      </c>
      <c r="G484" s="202">
        <v>1762</v>
      </c>
      <c r="H484" s="202">
        <v>974</v>
      </c>
      <c r="I484" s="121">
        <f>+I480*0.0502</f>
        <v>1781.096</v>
      </c>
      <c r="J484" s="121">
        <f>SUM('Budget Req-Muni Court'!E22)</f>
        <v>1895.6724800000002</v>
      </c>
      <c r="K484" s="121">
        <v>1978</v>
      </c>
      <c r="L484" s="96"/>
      <c r="M484" s="96"/>
    </row>
    <row r="485" spans="1:13" s="332" customFormat="1" ht="17.45" customHeight="1" x14ac:dyDescent="0.25">
      <c r="A485" s="158">
        <v>510.08</v>
      </c>
      <c r="B485" s="159" t="s">
        <v>326</v>
      </c>
      <c r="C485" s="178"/>
      <c r="D485" s="156"/>
      <c r="E485" s="178"/>
      <c r="F485" s="156">
        <v>57</v>
      </c>
      <c r="G485" s="202">
        <v>91</v>
      </c>
      <c r="H485" s="202">
        <v>189</v>
      </c>
      <c r="I485" s="121">
        <v>200</v>
      </c>
      <c r="J485" s="121">
        <f>SUM('Budget Req-Muni Court'!E24)</f>
        <v>91.35</v>
      </c>
      <c r="K485" s="121">
        <v>105</v>
      </c>
      <c r="L485" s="96"/>
      <c r="M485" s="96"/>
    </row>
    <row r="486" spans="1:13" s="332" customFormat="1" ht="17.45" customHeight="1" x14ac:dyDescent="0.25">
      <c r="A486" s="158">
        <v>510.09</v>
      </c>
      <c r="B486" s="159" t="s">
        <v>690</v>
      </c>
      <c r="C486" s="178"/>
      <c r="D486" s="156"/>
      <c r="E486" s="178"/>
      <c r="F486" s="156"/>
      <c r="G486" s="202">
        <v>334</v>
      </c>
      <c r="H486" s="202">
        <v>0</v>
      </c>
      <c r="I486" s="121">
        <v>334</v>
      </c>
      <c r="J486" s="121">
        <f>SUM('Budget Req-Muni Court'!E26)+J480*0.01</f>
        <v>719.17648000000008</v>
      </c>
      <c r="K486" s="121">
        <v>376</v>
      </c>
      <c r="L486" s="96"/>
      <c r="M486" s="96"/>
    </row>
    <row r="487" spans="1:13" ht="17.45" customHeight="1" x14ac:dyDescent="0.25">
      <c r="A487" s="158">
        <v>510.11</v>
      </c>
      <c r="B487" s="159" t="s">
        <v>236</v>
      </c>
      <c r="C487" s="178">
        <v>3000</v>
      </c>
      <c r="D487" s="156">
        <v>1290</v>
      </c>
      <c r="E487" s="178">
        <v>1935</v>
      </c>
      <c r="F487" s="156">
        <v>2500</v>
      </c>
      <c r="G487" s="202">
        <v>0</v>
      </c>
      <c r="H487" s="202">
        <v>100</v>
      </c>
      <c r="I487" s="121">
        <v>100</v>
      </c>
      <c r="J487" s="121">
        <v>0</v>
      </c>
      <c r="K487" s="121">
        <v>0</v>
      </c>
    </row>
    <row r="488" spans="1:13" ht="17.45" customHeight="1" x14ac:dyDescent="0.25">
      <c r="A488" s="284">
        <v>510.12</v>
      </c>
      <c r="B488" s="285" t="s">
        <v>536</v>
      </c>
      <c r="C488" s="178"/>
      <c r="D488" s="156"/>
      <c r="E488" s="178"/>
      <c r="F488" s="156">
        <v>0</v>
      </c>
      <c r="G488" s="286">
        <v>1200</v>
      </c>
      <c r="H488" s="286">
        <v>0</v>
      </c>
      <c r="I488" s="147">
        <v>1200</v>
      </c>
      <c r="J488" s="147">
        <f>SUM('Budget Req-Muni Court'!E28)</f>
        <v>1200</v>
      </c>
      <c r="K488" s="147">
        <v>1350</v>
      </c>
    </row>
    <row r="489" spans="1:13" ht="17.45" customHeight="1" thickBot="1" x14ac:dyDescent="0.3">
      <c r="A489" s="287" t="s">
        <v>265</v>
      </c>
      <c r="B489" s="288"/>
      <c r="C489" s="277"/>
      <c r="D489" s="278"/>
      <c r="E489" s="277"/>
      <c r="F489" s="278">
        <f t="shared" ref="F489:K489" si="58">SUM(F480:F488)</f>
        <v>53754.57</v>
      </c>
      <c r="G489" s="182">
        <f t="shared" si="58"/>
        <v>74313</v>
      </c>
      <c r="H489" s="182">
        <f t="shared" si="58"/>
        <v>43701</v>
      </c>
      <c r="I489" s="182">
        <f t="shared" si="58"/>
        <v>74824.495999999999</v>
      </c>
      <c r="J489" s="182">
        <f t="shared" si="58"/>
        <v>79814.146919999999</v>
      </c>
      <c r="K489" s="182">
        <f t="shared" si="58"/>
        <v>74140</v>
      </c>
      <c r="L489" s="180"/>
    </row>
    <row r="490" spans="1:13" ht="17.45" customHeight="1" x14ac:dyDescent="0.25">
      <c r="A490" s="158">
        <v>520.01</v>
      </c>
      <c r="B490" s="159" t="s">
        <v>161</v>
      </c>
      <c r="C490" s="178">
        <v>2000</v>
      </c>
      <c r="D490" s="156">
        <v>1280</v>
      </c>
      <c r="E490" s="178">
        <v>1920</v>
      </c>
      <c r="F490" s="156">
        <v>1300</v>
      </c>
      <c r="G490" s="202">
        <v>1000</v>
      </c>
      <c r="H490" s="202">
        <v>735</v>
      </c>
      <c r="I490" s="121">
        <v>1000</v>
      </c>
      <c r="J490" s="121">
        <v>1000</v>
      </c>
      <c r="K490" s="121">
        <v>1000</v>
      </c>
      <c r="L490" s="180"/>
    </row>
    <row r="491" spans="1:13" ht="17.45" customHeight="1" x14ac:dyDescent="0.25">
      <c r="A491" s="158">
        <v>520.02</v>
      </c>
      <c r="B491" s="159" t="s">
        <v>196</v>
      </c>
      <c r="C491" s="178">
        <v>1500</v>
      </c>
      <c r="D491" s="156">
        <v>460</v>
      </c>
      <c r="E491" s="178">
        <v>690</v>
      </c>
      <c r="F491" s="156">
        <v>1000</v>
      </c>
      <c r="G491" s="202">
        <v>800</v>
      </c>
      <c r="H491" s="202">
        <v>378</v>
      </c>
      <c r="I491" s="121">
        <v>800</v>
      </c>
      <c r="J491" s="121">
        <v>800</v>
      </c>
      <c r="K491" s="121">
        <v>800</v>
      </c>
    </row>
    <row r="492" spans="1:13" ht="17.45" customHeight="1" x14ac:dyDescent="0.25">
      <c r="A492" s="138">
        <v>520.03</v>
      </c>
      <c r="B492" s="116" t="s">
        <v>333</v>
      </c>
      <c r="C492" s="144"/>
      <c r="D492" s="145"/>
      <c r="E492" s="144"/>
      <c r="F492" s="145">
        <v>75</v>
      </c>
      <c r="G492" s="139">
        <v>50</v>
      </c>
      <c r="H492" s="139">
        <v>141</v>
      </c>
      <c r="I492" s="120">
        <v>200</v>
      </c>
      <c r="J492" s="120">
        <f>SUM('Budget Req-Muni Court'!E30)</f>
        <v>200</v>
      </c>
      <c r="K492" s="120">
        <v>200</v>
      </c>
      <c r="L492" s="157"/>
    </row>
    <row r="493" spans="1:13" ht="17.45" customHeight="1" x14ac:dyDescent="0.25">
      <c r="A493" s="138">
        <v>520.05999999999995</v>
      </c>
      <c r="B493" s="116" t="s">
        <v>231</v>
      </c>
      <c r="C493" s="144">
        <v>1000</v>
      </c>
      <c r="D493" s="145">
        <v>550</v>
      </c>
      <c r="E493" s="144">
        <v>825</v>
      </c>
      <c r="F493" s="145">
        <v>0</v>
      </c>
      <c r="G493" s="139">
        <v>0</v>
      </c>
      <c r="H493" s="139">
        <v>0</v>
      </c>
      <c r="I493" s="120">
        <v>0</v>
      </c>
      <c r="J493" s="120">
        <v>0</v>
      </c>
      <c r="K493" s="120">
        <v>0</v>
      </c>
    </row>
    <row r="494" spans="1:13" ht="17.45" customHeight="1" x14ac:dyDescent="0.25">
      <c r="A494" s="138">
        <v>520.08000000000004</v>
      </c>
      <c r="B494" s="116" t="s">
        <v>164</v>
      </c>
      <c r="C494" s="144">
        <v>3000</v>
      </c>
      <c r="D494" s="145">
        <v>2020</v>
      </c>
      <c r="E494" s="144">
        <v>3030</v>
      </c>
      <c r="F494" s="145">
        <v>500</v>
      </c>
      <c r="G494" s="139">
        <v>600</v>
      </c>
      <c r="H494" s="139">
        <v>225</v>
      </c>
      <c r="I494" s="120">
        <v>500</v>
      </c>
      <c r="J494" s="120">
        <v>500</v>
      </c>
      <c r="K494" s="120">
        <v>500</v>
      </c>
    </row>
    <row r="495" spans="1:13" ht="17.45" customHeight="1" x14ac:dyDescent="0.25">
      <c r="A495" s="141">
        <v>520.1</v>
      </c>
      <c r="B495" s="125" t="s">
        <v>216</v>
      </c>
      <c r="C495" s="144">
        <v>500</v>
      </c>
      <c r="D495" s="144">
        <v>0</v>
      </c>
      <c r="E495" s="144">
        <v>0</v>
      </c>
      <c r="F495" s="145">
        <v>0</v>
      </c>
      <c r="G495" s="205">
        <v>450</v>
      </c>
      <c r="H495" s="205">
        <v>282</v>
      </c>
      <c r="I495" s="129">
        <v>450</v>
      </c>
      <c r="J495" s="129">
        <v>450</v>
      </c>
      <c r="K495" s="129">
        <v>450</v>
      </c>
      <c r="M495" s="179"/>
    </row>
    <row r="496" spans="1:13" ht="17.45" customHeight="1" thickBot="1" x14ac:dyDescent="0.3">
      <c r="A496" s="142" t="s">
        <v>166</v>
      </c>
      <c r="B496" s="148"/>
      <c r="C496" s="149"/>
      <c r="D496" s="149"/>
      <c r="E496" s="149"/>
      <c r="F496" s="150">
        <f t="shared" ref="F496:K496" si="59">SUM(F490:F495)</f>
        <v>2875</v>
      </c>
      <c r="G496" s="136">
        <f t="shared" si="59"/>
        <v>2900</v>
      </c>
      <c r="H496" s="136">
        <f t="shared" si="59"/>
        <v>1761</v>
      </c>
      <c r="I496" s="136">
        <f t="shared" si="59"/>
        <v>2950</v>
      </c>
      <c r="J496" s="136">
        <f t="shared" si="59"/>
        <v>2950</v>
      </c>
      <c r="K496" s="136">
        <f t="shared" si="59"/>
        <v>2950</v>
      </c>
    </row>
    <row r="497" spans="1:13" s="179" customFormat="1" ht="17.45" customHeight="1" x14ac:dyDescent="0.25">
      <c r="A497" s="138">
        <v>530.01</v>
      </c>
      <c r="B497" s="116" t="s">
        <v>201</v>
      </c>
      <c r="C497" s="144">
        <v>400</v>
      </c>
      <c r="D497" s="145">
        <v>210</v>
      </c>
      <c r="E497" s="144">
        <v>320</v>
      </c>
      <c r="F497" s="145">
        <v>3300</v>
      </c>
      <c r="G497" s="139">
        <v>5400</v>
      </c>
      <c r="H497" s="139">
        <v>3968</v>
      </c>
      <c r="I497" s="120">
        <v>7000</v>
      </c>
      <c r="J497" s="120">
        <f>SUM('Budget Req-Muni Court'!E34)</f>
        <v>6000</v>
      </c>
      <c r="K497" s="120">
        <v>6000</v>
      </c>
      <c r="L497" s="146"/>
      <c r="M497" s="96"/>
    </row>
    <row r="498" spans="1:13" ht="17.45" customHeight="1" x14ac:dyDescent="0.25">
      <c r="A498" s="138">
        <v>530.02</v>
      </c>
      <c r="B498" s="116" t="s">
        <v>238</v>
      </c>
      <c r="C498" s="178">
        <v>6000</v>
      </c>
      <c r="D498" s="145">
        <v>4340</v>
      </c>
      <c r="E498" s="144">
        <v>6500</v>
      </c>
      <c r="F498" s="156">
        <v>0</v>
      </c>
      <c r="G498" s="139">
        <v>1200</v>
      </c>
      <c r="H498" s="139">
        <v>594</v>
      </c>
      <c r="I498" s="120">
        <v>1200</v>
      </c>
      <c r="J498" s="120">
        <f>SUM('Budget Req-Muni Court'!E36)</f>
        <v>1200</v>
      </c>
      <c r="K498" s="120">
        <v>1200</v>
      </c>
      <c r="L498" s="146"/>
    </row>
    <row r="499" spans="1:13" s="157" customFormat="1" ht="17.45" customHeight="1" x14ac:dyDescent="0.25">
      <c r="A499" s="138">
        <v>530.03</v>
      </c>
      <c r="B499" s="116" t="s">
        <v>605</v>
      </c>
      <c r="C499" s="152">
        <v>600</v>
      </c>
      <c r="D499" s="145">
        <v>240</v>
      </c>
      <c r="E499" s="144">
        <v>360</v>
      </c>
      <c r="F499" s="153">
        <v>100</v>
      </c>
      <c r="G499" s="139">
        <v>100</v>
      </c>
      <c r="H499" s="139">
        <v>100</v>
      </c>
      <c r="I499" s="120">
        <v>100</v>
      </c>
      <c r="J499" s="120">
        <f>SUM('Budget Req-Muni Court'!E38)</f>
        <v>100</v>
      </c>
      <c r="K499" s="120">
        <v>100</v>
      </c>
      <c r="L499" s="146"/>
      <c r="M499" s="96"/>
    </row>
    <row r="500" spans="1:13" ht="17.45" customHeight="1" x14ac:dyDescent="0.25">
      <c r="A500" s="138">
        <v>530.05999999999995</v>
      </c>
      <c r="B500" s="116" t="s">
        <v>267</v>
      </c>
      <c r="C500" s="118">
        <v>500</v>
      </c>
      <c r="D500" s="145">
        <v>96</v>
      </c>
      <c r="E500" s="144">
        <v>150</v>
      </c>
      <c r="F500" s="119">
        <v>100</v>
      </c>
      <c r="G500" s="139">
        <v>800</v>
      </c>
      <c r="H500" s="139">
        <v>688</v>
      </c>
      <c r="I500" s="120">
        <v>800</v>
      </c>
      <c r="J500" s="120">
        <v>800</v>
      </c>
      <c r="K500" s="120">
        <v>800</v>
      </c>
      <c r="L500" s="146"/>
    </row>
    <row r="501" spans="1:13" ht="17.45" customHeight="1" x14ac:dyDescent="0.25">
      <c r="A501" s="158">
        <v>530.07000000000005</v>
      </c>
      <c r="B501" s="159" t="s">
        <v>268</v>
      </c>
      <c r="C501" s="144">
        <v>2000</v>
      </c>
      <c r="D501" s="156">
        <v>800</v>
      </c>
      <c r="E501" s="178">
        <v>1200</v>
      </c>
      <c r="F501" s="145">
        <v>3320</v>
      </c>
      <c r="G501" s="202">
        <v>0</v>
      </c>
      <c r="H501" s="139">
        <v>0</v>
      </c>
      <c r="I501" s="121">
        <v>0</v>
      </c>
      <c r="J501" s="121">
        <f>SUM('Budget Req-Muni Court'!E40)</f>
        <v>2700</v>
      </c>
      <c r="K501" s="121">
        <v>2700</v>
      </c>
    </row>
    <row r="502" spans="1:13" ht="17.45" customHeight="1" x14ac:dyDescent="0.25">
      <c r="A502" s="158">
        <v>530.1</v>
      </c>
      <c r="B502" s="159" t="s">
        <v>225</v>
      </c>
      <c r="C502" s="144">
        <v>22000</v>
      </c>
      <c r="D502" s="156">
        <v>44000</v>
      </c>
      <c r="E502" s="178">
        <v>66000</v>
      </c>
      <c r="F502" s="145">
        <v>600</v>
      </c>
      <c r="G502" s="202">
        <v>650</v>
      </c>
      <c r="H502" s="202">
        <v>329</v>
      </c>
      <c r="I502" s="120">
        <v>650</v>
      </c>
      <c r="J502" s="120">
        <v>650</v>
      </c>
      <c r="K502" s="120">
        <v>650</v>
      </c>
    </row>
    <row r="503" spans="1:13" ht="17.45" customHeight="1" x14ac:dyDescent="0.25">
      <c r="A503" s="138">
        <v>530.11</v>
      </c>
      <c r="B503" s="116" t="s">
        <v>2</v>
      </c>
      <c r="C503" s="144">
        <v>1000</v>
      </c>
      <c r="D503" s="118">
        <v>0</v>
      </c>
      <c r="E503" s="118">
        <v>0</v>
      </c>
      <c r="F503" s="145">
        <v>3100</v>
      </c>
      <c r="G503" s="139">
        <v>3000</v>
      </c>
      <c r="H503" s="139">
        <v>1987</v>
      </c>
      <c r="I503" s="120">
        <v>3500</v>
      </c>
      <c r="J503" s="120">
        <v>3500</v>
      </c>
      <c r="K503" s="120">
        <v>3500</v>
      </c>
    </row>
    <row r="504" spans="1:13" ht="17.45" customHeight="1" x14ac:dyDescent="0.25">
      <c r="A504" s="138">
        <v>530.13</v>
      </c>
      <c r="B504" s="116" t="s">
        <v>172</v>
      </c>
      <c r="C504" s="144">
        <v>1500</v>
      </c>
      <c r="D504" s="145">
        <v>1750</v>
      </c>
      <c r="E504" s="144">
        <v>2500</v>
      </c>
      <c r="F504" s="145">
        <v>20750</v>
      </c>
      <c r="G504" s="139">
        <v>31296</v>
      </c>
      <c r="H504" s="139">
        <v>21247</v>
      </c>
      <c r="I504" s="120">
        <f>+H504+13000</f>
        <v>34247</v>
      </c>
      <c r="J504" s="187">
        <f>SUM('Budget Req-Muni Court'!E44)</f>
        <v>31296</v>
      </c>
      <c r="K504" s="187">
        <v>31296</v>
      </c>
      <c r="M504" s="157"/>
    </row>
    <row r="505" spans="1:13" ht="17.45" customHeight="1" x14ac:dyDescent="0.25">
      <c r="A505" s="138">
        <v>530.17999999999995</v>
      </c>
      <c r="B505" s="116" t="s">
        <v>269</v>
      </c>
      <c r="C505" s="144">
        <v>0</v>
      </c>
      <c r="D505" s="145">
        <v>0</v>
      </c>
      <c r="E505" s="144">
        <v>0</v>
      </c>
      <c r="F505" s="145">
        <v>110000</v>
      </c>
      <c r="G505" s="139">
        <v>56000</v>
      </c>
      <c r="H505" s="139">
        <v>35717</v>
      </c>
      <c r="I505" s="120">
        <f>+H505+10000</f>
        <v>45717</v>
      </c>
      <c r="J505" s="120">
        <f>SUM('Budget Req-Muni Court'!E46)</f>
        <v>46000</v>
      </c>
      <c r="K505" s="120">
        <v>46000</v>
      </c>
    </row>
    <row r="506" spans="1:13" ht="17.45" customHeight="1" x14ac:dyDescent="0.25">
      <c r="A506" s="141">
        <v>530.19000000000005</v>
      </c>
      <c r="B506" s="125" t="s">
        <v>572</v>
      </c>
      <c r="C506" s="144"/>
      <c r="D506" s="145"/>
      <c r="E506" s="144"/>
      <c r="F506" s="145"/>
      <c r="G506" s="205">
        <v>0</v>
      </c>
      <c r="H506" s="205">
        <v>0</v>
      </c>
      <c r="I506" s="129">
        <v>0</v>
      </c>
      <c r="J506" s="129">
        <v>0</v>
      </c>
      <c r="K506" s="129">
        <v>0</v>
      </c>
    </row>
    <row r="507" spans="1:13" s="157" customFormat="1" ht="17.45" customHeight="1" thickBot="1" x14ac:dyDescent="0.3">
      <c r="A507" s="142" t="s">
        <v>266</v>
      </c>
      <c r="B507" s="148"/>
      <c r="C507" s="149"/>
      <c r="D507" s="150"/>
      <c r="E507" s="149"/>
      <c r="F507" s="150">
        <f>SUM(F497:F505)</f>
        <v>141270</v>
      </c>
      <c r="G507" s="136">
        <f>SUM(G497:G506)</f>
        <v>98446</v>
      </c>
      <c r="H507" s="136">
        <f>SUM(H497:H506)</f>
        <v>64630</v>
      </c>
      <c r="I507" s="136">
        <f>SUM(I497:I506)</f>
        <v>93214</v>
      </c>
      <c r="J507" s="136">
        <f>SUM(J497:J505)</f>
        <v>92246</v>
      </c>
      <c r="K507" s="136">
        <f>SUM(K497:K506)</f>
        <v>92246</v>
      </c>
      <c r="L507" s="146"/>
      <c r="M507" s="96"/>
    </row>
    <row r="508" spans="1:13" ht="17.45" customHeight="1" x14ac:dyDescent="0.25">
      <c r="A508" s="141">
        <v>540.01</v>
      </c>
      <c r="B508" s="125" t="s">
        <v>270</v>
      </c>
      <c r="C508" s="144"/>
      <c r="D508" s="145"/>
      <c r="E508" s="144"/>
      <c r="F508" s="145">
        <v>750</v>
      </c>
      <c r="G508" s="205">
        <v>1000</v>
      </c>
      <c r="H508" s="205">
        <v>555</v>
      </c>
      <c r="I508" s="163">
        <v>1000</v>
      </c>
      <c r="J508" s="129">
        <f>SUM('Budget Req-Muni Court'!E52)</f>
        <v>1500</v>
      </c>
      <c r="K508" s="147">
        <v>1500</v>
      </c>
    </row>
    <row r="509" spans="1:13" ht="17.45" customHeight="1" thickBot="1" x14ac:dyDescent="0.3">
      <c r="A509" s="142" t="s">
        <v>254</v>
      </c>
      <c r="B509" s="148"/>
      <c r="C509" s="149"/>
      <c r="D509" s="150"/>
      <c r="E509" s="149"/>
      <c r="F509" s="150">
        <f t="shared" ref="F509:K509" si="60">SUM(F508)</f>
        <v>750</v>
      </c>
      <c r="G509" s="136">
        <f t="shared" si="60"/>
        <v>1000</v>
      </c>
      <c r="H509" s="136">
        <f t="shared" si="60"/>
        <v>555</v>
      </c>
      <c r="I509" s="136">
        <f t="shared" si="60"/>
        <v>1000</v>
      </c>
      <c r="J509" s="136">
        <f t="shared" si="60"/>
        <v>1500</v>
      </c>
      <c r="K509" s="136">
        <f t="shared" si="60"/>
        <v>1500</v>
      </c>
    </row>
    <row r="510" spans="1:13" ht="17.45" customHeight="1" x14ac:dyDescent="0.25">
      <c r="A510" s="138">
        <v>550.01</v>
      </c>
      <c r="B510" s="116" t="s">
        <v>203</v>
      </c>
      <c r="C510" s="144"/>
      <c r="D510" s="145"/>
      <c r="E510" s="144"/>
      <c r="F510" s="145">
        <v>250</v>
      </c>
      <c r="G510" s="120">
        <v>250</v>
      </c>
      <c r="H510" s="139">
        <v>0</v>
      </c>
      <c r="I510" s="120">
        <v>250</v>
      </c>
      <c r="J510" s="120">
        <v>250</v>
      </c>
      <c r="K510" s="120">
        <v>250</v>
      </c>
    </row>
    <row r="511" spans="1:13" ht="17.45" customHeight="1" x14ac:dyDescent="0.25">
      <c r="A511" s="138">
        <v>550.02</v>
      </c>
      <c r="B511" s="116" t="s">
        <v>204</v>
      </c>
      <c r="C511" s="144"/>
      <c r="D511" s="145"/>
      <c r="E511" s="144"/>
      <c r="F511" s="145">
        <v>250</v>
      </c>
      <c r="G511" s="120">
        <v>200</v>
      </c>
      <c r="H511" s="139">
        <v>0</v>
      </c>
      <c r="I511" s="120">
        <v>200</v>
      </c>
      <c r="J511" s="120">
        <v>200</v>
      </c>
      <c r="K511" s="120">
        <v>200</v>
      </c>
    </row>
    <row r="512" spans="1:13" ht="17.45" customHeight="1" x14ac:dyDescent="0.25">
      <c r="A512" s="138">
        <v>550.05999999999995</v>
      </c>
      <c r="B512" s="125" t="s">
        <v>601</v>
      </c>
      <c r="C512" s="144"/>
      <c r="D512" s="145"/>
      <c r="E512" s="144"/>
      <c r="F512" s="145">
        <v>0</v>
      </c>
      <c r="G512" s="129">
        <v>250</v>
      </c>
      <c r="H512" s="205">
        <v>0</v>
      </c>
      <c r="I512" s="129">
        <v>250</v>
      </c>
      <c r="J512" s="129">
        <v>250</v>
      </c>
      <c r="K512" s="129">
        <v>250</v>
      </c>
    </row>
    <row r="513" spans="1:13" ht="17.45" customHeight="1" thickBot="1" x14ac:dyDescent="0.3">
      <c r="A513" s="142" t="s">
        <v>233</v>
      </c>
      <c r="B513" s="148"/>
      <c r="C513" s="149"/>
      <c r="D513" s="150"/>
      <c r="E513" s="149"/>
      <c r="F513" s="150">
        <f t="shared" ref="F513:K513" si="61">SUM(F510:F512)</f>
        <v>500</v>
      </c>
      <c r="G513" s="136">
        <f t="shared" si="61"/>
        <v>700</v>
      </c>
      <c r="H513" s="136">
        <f t="shared" si="61"/>
        <v>0</v>
      </c>
      <c r="I513" s="136">
        <f t="shared" si="61"/>
        <v>700</v>
      </c>
      <c r="J513" s="136">
        <f t="shared" si="61"/>
        <v>700</v>
      </c>
      <c r="K513" s="136">
        <f t="shared" si="61"/>
        <v>700</v>
      </c>
      <c r="M513" s="157"/>
    </row>
    <row r="514" spans="1:13" ht="15.75" customHeight="1" x14ac:dyDescent="0.25">
      <c r="A514" s="138">
        <v>560.02</v>
      </c>
      <c r="B514" s="116" t="s">
        <v>179</v>
      </c>
      <c r="C514" s="144"/>
      <c r="D514" s="145"/>
      <c r="E514" s="144"/>
      <c r="F514" s="145">
        <v>5000</v>
      </c>
      <c r="G514" s="139">
        <v>1400</v>
      </c>
      <c r="H514" s="120">
        <v>1260</v>
      </c>
      <c r="I514" s="121">
        <v>1300</v>
      </c>
      <c r="J514" s="120">
        <f>SUM('Budget Req-Muni Court'!E56)</f>
        <v>1320</v>
      </c>
      <c r="K514" s="120">
        <v>1320</v>
      </c>
      <c r="L514" s="157"/>
    </row>
    <row r="515" spans="1:13" s="157" customFormat="1" ht="16.5" customHeight="1" x14ac:dyDescent="0.25">
      <c r="A515" s="138">
        <v>560.08000000000004</v>
      </c>
      <c r="B515" s="116" t="s">
        <v>272</v>
      </c>
      <c r="C515" s="144"/>
      <c r="D515" s="145"/>
      <c r="E515" s="144"/>
      <c r="F515" s="145">
        <v>800</v>
      </c>
      <c r="G515" s="139">
        <v>400</v>
      </c>
      <c r="H515" s="139">
        <v>0</v>
      </c>
      <c r="I515" s="120">
        <v>400</v>
      </c>
      <c r="J515" s="333">
        <v>400</v>
      </c>
      <c r="K515" s="120">
        <v>400</v>
      </c>
      <c r="L515" s="96"/>
      <c r="M515" s="96"/>
    </row>
    <row r="516" spans="1:13" ht="15.75" customHeight="1" x14ac:dyDescent="0.25">
      <c r="A516" s="138">
        <v>560.1</v>
      </c>
      <c r="B516" s="116" t="s">
        <v>180</v>
      </c>
      <c r="C516" s="144"/>
      <c r="D516" s="145"/>
      <c r="E516" s="144"/>
      <c r="F516" s="145">
        <v>0</v>
      </c>
      <c r="G516" s="139">
        <v>1000</v>
      </c>
      <c r="H516" s="139">
        <v>135</v>
      </c>
      <c r="I516" s="120">
        <v>500</v>
      </c>
      <c r="J516" s="187">
        <f>SUM('Budget Req-Muni Court'!E60)</f>
        <v>1500</v>
      </c>
      <c r="K516" s="120">
        <v>1500</v>
      </c>
    </row>
    <row r="517" spans="1:13" ht="16.5" customHeight="1" x14ac:dyDescent="0.25">
      <c r="A517" s="141">
        <v>560.15</v>
      </c>
      <c r="B517" s="125" t="s">
        <v>271</v>
      </c>
      <c r="C517" s="144"/>
      <c r="D517" s="145"/>
      <c r="E517" s="144"/>
      <c r="F517" s="145">
        <v>1200</v>
      </c>
      <c r="G517" s="205">
        <v>4000</v>
      </c>
      <c r="H517" s="205">
        <v>2832</v>
      </c>
      <c r="I517" s="129">
        <v>4800</v>
      </c>
      <c r="J517" s="205">
        <v>4000</v>
      </c>
      <c r="K517" s="129">
        <v>4000</v>
      </c>
      <c r="L517" s="157"/>
    </row>
    <row r="518" spans="1:13" ht="17.25" customHeight="1" x14ac:dyDescent="0.25">
      <c r="A518" s="323" t="s">
        <v>178</v>
      </c>
      <c r="B518" s="324"/>
      <c r="C518" s="144"/>
      <c r="D518" s="145"/>
      <c r="E518" s="144"/>
      <c r="F518" s="145">
        <f t="shared" ref="F518:K518" si="62">SUM(F514:F517)</f>
        <v>7000</v>
      </c>
      <c r="G518" s="210">
        <f t="shared" si="62"/>
        <v>6800</v>
      </c>
      <c r="H518" s="210">
        <f t="shared" si="62"/>
        <v>4227</v>
      </c>
      <c r="I518" s="210">
        <f t="shared" si="62"/>
        <v>7000</v>
      </c>
      <c r="J518" s="210">
        <f t="shared" si="62"/>
        <v>7220</v>
      </c>
      <c r="K518" s="210">
        <f t="shared" si="62"/>
        <v>7220</v>
      </c>
      <c r="L518" s="157"/>
    </row>
    <row r="519" spans="1:13" ht="17.25" customHeight="1" x14ac:dyDescent="0.25">
      <c r="A519" s="334">
        <v>580.01</v>
      </c>
      <c r="B519" s="335" t="s">
        <v>182</v>
      </c>
      <c r="C519" s="144"/>
      <c r="D519" s="145"/>
      <c r="E519" s="144"/>
      <c r="F519" s="145"/>
      <c r="G519" s="312">
        <v>0</v>
      </c>
      <c r="H519" s="312">
        <v>0</v>
      </c>
      <c r="I519" s="210">
        <v>0</v>
      </c>
      <c r="J519" s="336">
        <f>SUM('Budget Req-Muni Court'!E62)</f>
        <v>3500</v>
      </c>
      <c r="K519" s="210">
        <v>3500</v>
      </c>
      <c r="L519" s="157"/>
    </row>
    <row r="520" spans="1:13" ht="17.25" customHeight="1" x14ac:dyDescent="0.25">
      <c r="A520" s="323" t="s">
        <v>585</v>
      </c>
      <c r="B520" s="324"/>
      <c r="C520" s="144"/>
      <c r="D520" s="145"/>
      <c r="E520" s="144"/>
      <c r="F520" s="145"/>
      <c r="G520" s="312">
        <f>SUM(G519)</f>
        <v>0</v>
      </c>
      <c r="H520" s="312">
        <f>SUM(H519)</f>
        <v>0</v>
      </c>
      <c r="I520" s="210">
        <f>SUM(I519)</f>
        <v>0</v>
      </c>
      <c r="J520" s="210">
        <f>SUM(J519)</f>
        <v>3500</v>
      </c>
      <c r="K520" s="210">
        <f>SUM(K519)</f>
        <v>3500</v>
      </c>
      <c r="L520" s="146"/>
    </row>
    <row r="521" spans="1:13" ht="17.45" customHeight="1" x14ac:dyDescent="0.25">
      <c r="A521" s="334">
        <v>590.02</v>
      </c>
      <c r="B521" s="335" t="s">
        <v>204</v>
      </c>
      <c r="C521" s="144"/>
      <c r="D521" s="145"/>
      <c r="E521" s="144"/>
      <c r="F521" s="145">
        <v>0</v>
      </c>
      <c r="G521" s="312">
        <v>0</v>
      </c>
      <c r="H521" s="312">
        <v>0</v>
      </c>
      <c r="I521" s="210">
        <v>0</v>
      </c>
      <c r="J521" s="336">
        <f>SUM('Budget Req-Muni Court'!E64)</f>
        <v>1200</v>
      </c>
      <c r="K521" s="336">
        <v>1200</v>
      </c>
      <c r="L521" s="146"/>
      <c r="M521" s="157"/>
    </row>
    <row r="522" spans="1:13" ht="17.45" customHeight="1" thickBot="1" x14ac:dyDescent="0.3">
      <c r="A522" s="291" t="s">
        <v>273</v>
      </c>
      <c r="B522" s="292"/>
      <c r="C522" s="178"/>
      <c r="D522" s="156"/>
      <c r="E522" s="178"/>
      <c r="F522" s="156">
        <f t="shared" ref="F522:K522" si="63">SUM(F521)</f>
        <v>0</v>
      </c>
      <c r="G522" s="112">
        <f t="shared" si="63"/>
        <v>0</v>
      </c>
      <c r="H522" s="112">
        <f t="shared" si="63"/>
        <v>0</v>
      </c>
      <c r="I522" s="112">
        <f t="shared" si="63"/>
        <v>0</v>
      </c>
      <c r="J522" s="112">
        <f t="shared" si="63"/>
        <v>1200</v>
      </c>
      <c r="K522" s="112">
        <f t="shared" si="63"/>
        <v>1200</v>
      </c>
      <c r="L522" s="146"/>
      <c r="M522" s="157"/>
    </row>
    <row r="523" spans="1:13" ht="17.45" customHeight="1" x14ac:dyDescent="0.25">
      <c r="A523" s="543" t="s">
        <v>357</v>
      </c>
      <c r="B523" s="544"/>
      <c r="C523" s="460">
        <f>SUM(C480:C522)</f>
        <v>86172</v>
      </c>
      <c r="D523" s="496">
        <f>SUM(D480:D522)</f>
        <v>84077</v>
      </c>
      <c r="E523" s="496">
        <f>SUM(E480:E522)</f>
        <v>126680</v>
      </c>
      <c r="F523" s="497">
        <f>SUM(F489+F496+F507+F509+F513+F518+F522)</f>
        <v>206149.57</v>
      </c>
      <c r="G523" s="478">
        <f>SUM(G489+G496+G507+G509+G513+G518+G520+G522)</f>
        <v>184159</v>
      </c>
      <c r="H523" s="478">
        <f>SUM(H489+H496+H507+H509+H513+H518+H520+H522)</f>
        <v>114874</v>
      </c>
      <c r="I523" s="478">
        <f>SUM(I489+I496+I507+I509+I513+I518+I520+I522)</f>
        <v>179688.49599999998</v>
      </c>
      <c r="J523" s="478">
        <f>SUM(J489+J496+J507+J509+J513+J518+J520+J522)</f>
        <v>189130.14692</v>
      </c>
      <c r="K523" s="478">
        <f>SUM(K489+K496+K507+K509+K513+K518+K520+K522)</f>
        <v>183456</v>
      </c>
      <c r="L523" s="146"/>
    </row>
    <row r="524" spans="1:13" s="146" customFormat="1" x14ac:dyDescent="0.25">
      <c r="A524" s="519"/>
      <c r="B524" s="520"/>
      <c r="C524" s="520"/>
      <c r="D524" s="520"/>
      <c r="E524" s="520"/>
      <c r="F524" s="521"/>
      <c r="G524" s="99"/>
      <c r="H524" s="100"/>
      <c r="I524" s="101"/>
      <c r="J524" s="101" t="s">
        <v>1093</v>
      </c>
      <c r="K524" s="101" t="s">
        <v>1075</v>
      </c>
      <c r="M524" s="96"/>
    </row>
    <row r="525" spans="1:13" x14ac:dyDescent="0.25">
      <c r="A525" s="337" t="s">
        <v>1050</v>
      </c>
      <c r="B525" s="104"/>
      <c r="C525" s="275" t="s">
        <v>27</v>
      </c>
      <c r="D525" s="276" t="s">
        <v>30</v>
      </c>
      <c r="E525" s="276" t="s">
        <v>29</v>
      </c>
      <c r="F525" s="174" t="s">
        <v>405</v>
      </c>
      <c r="G525" s="105" t="s">
        <v>846</v>
      </c>
      <c r="H525" s="105" t="s">
        <v>855</v>
      </c>
      <c r="I525" s="311" t="s">
        <v>1090</v>
      </c>
      <c r="J525" s="105" t="s">
        <v>857</v>
      </c>
      <c r="K525" s="105" t="s">
        <v>1076</v>
      </c>
      <c r="L525" s="146"/>
    </row>
    <row r="526" spans="1:13" x14ac:dyDescent="0.25">
      <c r="A526" s="449" t="s">
        <v>970</v>
      </c>
      <c r="B526" s="439" t="s">
        <v>5</v>
      </c>
      <c r="C526" s="178">
        <v>28300</v>
      </c>
      <c r="D526" s="156">
        <v>17157</v>
      </c>
      <c r="E526" s="156">
        <v>25735</v>
      </c>
      <c r="F526" s="156">
        <v>66256</v>
      </c>
      <c r="G526" s="306">
        <v>0</v>
      </c>
      <c r="H526" s="112">
        <v>0</v>
      </c>
      <c r="I526" s="112">
        <v>0</v>
      </c>
      <c r="J526" s="112">
        <f>('Personnel Sched-CodeComp'!K19)*1.02</f>
        <v>110773.83600000001</v>
      </c>
      <c r="K526" s="112">
        <v>102301</v>
      </c>
      <c r="L526" s="146"/>
    </row>
    <row r="527" spans="1:13" x14ac:dyDescent="0.25">
      <c r="A527" s="158">
        <v>510.03</v>
      </c>
      <c r="B527" s="159" t="s">
        <v>155</v>
      </c>
      <c r="C527" s="178">
        <v>2120</v>
      </c>
      <c r="D527" s="156">
        <v>1266</v>
      </c>
      <c r="E527" s="156">
        <v>1899</v>
      </c>
      <c r="F527" s="156">
        <v>1000</v>
      </c>
      <c r="G527" s="121">
        <v>0</v>
      </c>
      <c r="H527" s="121">
        <v>0</v>
      </c>
      <c r="I527" s="121">
        <v>0</v>
      </c>
      <c r="J527" s="121">
        <f>SUM('Budget Req-Comm Dev'!E305)</f>
        <v>0</v>
      </c>
      <c r="K527" s="121">
        <v>0</v>
      </c>
      <c r="L527" s="146"/>
    </row>
    <row r="528" spans="1:13" x14ac:dyDescent="0.25">
      <c r="A528" s="158">
        <v>510.05</v>
      </c>
      <c r="B528" s="159" t="s">
        <v>194</v>
      </c>
      <c r="C528" s="178">
        <v>1500</v>
      </c>
      <c r="D528" s="156">
        <v>893</v>
      </c>
      <c r="E528" s="156">
        <v>1340</v>
      </c>
      <c r="F528" s="156">
        <v>12998</v>
      </c>
      <c r="G528" s="121">
        <v>0</v>
      </c>
      <c r="H528" s="121">
        <v>0</v>
      </c>
      <c r="I528" s="121">
        <v>0</v>
      </c>
      <c r="J528" s="121">
        <f>'Budget Req-CodeCompl'!E18</f>
        <v>8501.4763600000006</v>
      </c>
      <c r="K528" s="121">
        <v>25448</v>
      </c>
      <c r="L528" s="146"/>
    </row>
    <row r="529" spans="1:13" x14ac:dyDescent="0.25">
      <c r="A529" s="158">
        <v>510.06</v>
      </c>
      <c r="B529" s="159" t="s">
        <v>19</v>
      </c>
      <c r="C529" s="178">
        <v>4000</v>
      </c>
      <c r="D529" s="156">
        <v>2734</v>
      </c>
      <c r="E529" s="156">
        <v>4100</v>
      </c>
      <c r="F529" s="156">
        <v>5068.58</v>
      </c>
      <c r="G529" s="202">
        <v>0</v>
      </c>
      <c r="H529" s="121">
        <v>0</v>
      </c>
      <c r="I529" s="121">
        <f>+I526*0.08</f>
        <v>0</v>
      </c>
      <c r="J529" s="121">
        <f>+J526*0.0765</f>
        <v>8474.1984540000012</v>
      </c>
      <c r="K529" s="121">
        <v>7826</v>
      </c>
      <c r="L529" s="146"/>
    </row>
    <row r="530" spans="1:13" x14ac:dyDescent="0.25">
      <c r="A530" s="158">
        <v>510.07</v>
      </c>
      <c r="B530" s="159" t="s">
        <v>158</v>
      </c>
      <c r="C530" s="178">
        <v>800</v>
      </c>
      <c r="D530" s="156">
        <v>491</v>
      </c>
      <c r="E530" s="156">
        <v>736.5</v>
      </c>
      <c r="F530" s="156">
        <v>2815.88</v>
      </c>
      <c r="G530" s="121">
        <v>0</v>
      </c>
      <c r="H530" s="121">
        <v>0</v>
      </c>
      <c r="I530" s="121">
        <f>+I526*0.0502</f>
        <v>0</v>
      </c>
      <c r="J530" s="121">
        <f>'Budget Req-CodeCompl'!E22</f>
        <v>5451.8103600000004</v>
      </c>
      <c r="K530" s="121">
        <v>5207</v>
      </c>
      <c r="L530" s="146"/>
    </row>
    <row r="531" spans="1:13" x14ac:dyDescent="0.25">
      <c r="A531" s="158">
        <v>510.08</v>
      </c>
      <c r="B531" s="159" t="s">
        <v>326</v>
      </c>
      <c r="C531" s="178"/>
      <c r="D531" s="156"/>
      <c r="E531" s="156"/>
      <c r="F531" s="156">
        <v>404</v>
      </c>
      <c r="G531" s="121">
        <v>0</v>
      </c>
      <c r="H531" s="121">
        <v>0</v>
      </c>
      <c r="I531" s="121">
        <v>0</v>
      </c>
      <c r="J531" s="121">
        <f>'Budget Req-CodeCompl'!E24</f>
        <v>91.35</v>
      </c>
      <c r="K531" s="121">
        <v>276</v>
      </c>
      <c r="L531" s="146"/>
    </row>
    <row r="532" spans="1:13" x14ac:dyDescent="0.25">
      <c r="A532" s="158">
        <v>510.09</v>
      </c>
      <c r="B532" s="159" t="s">
        <v>690</v>
      </c>
      <c r="C532" s="178"/>
      <c r="D532" s="156"/>
      <c r="E532" s="156"/>
      <c r="F532" s="156"/>
      <c r="G532" s="121">
        <v>0</v>
      </c>
      <c r="H532" s="121">
        <v>0</v>
      </c>
      <c r="I532" s="121">
        <v>0</v>
      </c>
      <c r="J532" s="121">
        <f>+J526*0.01</f>
        <v>1107.7383600000001</v>
      </c>
      <c r="K532" s="121">
        <v>425</v>
      </c>
      <c r="L532" s="146"/>
    </row>
    <row r="533" spans="1:13" x14ac:dyDescent="0.25">
      <c r="A533" s="158">
        <v>510.11</v>
      </c>
      <c r="B533" s="159" t="s">
        <v>236</v>
      </c>
      <c r="C533" s="178"/>
      <c r="D533" s="156"/>
      <c r="E533" s="156"/>
      <c r="F533" s="156">
        <v>2500</v>
      </c>
      <c r="G533" s="121">
        <v>0</v>
      </c>
      <c r="H533" s="202">
        <v>0</v>
      </c>
      <c r="I533" s="121">
        <v>0</v>
      </c>
      <c r="J533" s="121">
        <v>0</v>
      </c>
      <c r="K533" s="121">
        <v>0</v>
      </c>
      <c r="L533" s="146"/>
    </row>
    <row r="534" spans="1:13" x14ac:dyDescent="0.25">
      <c r="A534" s="158">
        <v>510.12</v>
      </c>
      <c r="B534" s="159" t="s">
        <v>536</v>
      </c>
      <c r="C534" s="178"/>
      <c r="D534" s="156"/>
      <c r="E534" s="156"/>
      <c r="F534" s="156">
        <v>0</v>
      </c>
      <c r="G534" s="121">
        <v>0</v>
      </c>
      <c r="H534" s="202">
        <v>0</v>
      </c>
      <c r="I534" s="121">
        <v>0</v>
      </c>
      <c r="J534" s="121">
        <f>'Budget Req-CodeCompl'!E28</f>
        <v>2550</v>
      </c>
      <c r="K534" s="121">
        <v>2400</v>
      </c>
      <c r="L534" s="146"/>
    </row>
    <row r="535" spans="1:13" ht="18.75" thickBot="1" x14ac:dyDescent="0.3">
      <c r="A535" s="287" t="s">
        <v>210</v>
      </c>
      <c r="B535" s="288"/>
      <c r="C535" s="340"/>
      <c r="D535" s="341"/>
      <c r="E535" s="341"/>
      <c r="F535" s="341">
        <f t="shared" ref="F535:K535" si="64">SUM(F526:F534)</f>
        <v>91042.46</v>
      </c>
      <c r="G535" s="182">
        <f t="shared" si="64"/>
        <v>0</v>
      </c>
      <c r="H535" s="182">
        <f t="shared" si="64"/>
        <v>0</v>
      </c>
      <c r="I535" s="182">
        <f t="shared" si="64"/>
        <v>0</v>
      </c>
      <c r="J535" s="182">
        <f t="shared" si="64"/>
        <v>136950.40953400001</v>
      </c>
      <c r="K535" s="182">
        <f t="shared" si="64"/>
        <v>143883</v>
      </c>
    </row>
    <row r="536" spans="1:13" x14ac:dyDescent="0.25">
      <c r="A536" s="158">
        <v>520.01</v>
      </c>
      <c r="B536" s="159" t="s">
        <v>161</v>
      </c>
      <c r="C536" s="178">
        <v>0</v>
      </c>
      <c r="D536" s="156">
        <v>0</v>
      </c>
      <c r="E536" s="156">
        <v>0</v>
      </c>
      <c r="F536" s="156">
        <v>1000</v>
      </c>
      <c r="G536" s="202">
        <v>0</v>
      </c>
      <c r="H536" s="202">
        <v>0</v>
      </c>
      <c r="I536" s="121">
        <v>0</v>
      </c>
      <c r="J536" s="121">
        <v>1200</v>
      </c>
      <c r="K536" s="121">
        <v>1200</v>
      </c>
      <c r="L536" s="157"/>
    </row>
    <row r="537" spans="1:13" x14ac:dyDescent="0.25">
      <c r="A537" s="158">
        <v>520.02</v>
      </c>
      <c r="B537" s="159" t="s">
        <v>196</v>
      </c>
      <c r="C537" s="178"/>
      <c r="D537" s="156"/>
      <c r="E537" s="156"/>
      <c r="F537" s="156">
        <v>400</v>
      </c>
      <c r="G537" s="202">
        <v>0</v>
      </c>
      <c r="H537" s="202">
        <v>0</v>
      </c>
      <c r="I537" s="121">
        <v>0</v>
      </c>
      <c r="J537" s="121">
        <v>500</v>
      </c>
      <c r="K537" s="121">
        <v>500</v>
      </c>
      <c r="L537" s="157"/>
    </row>
    <row r="538" spans="1:13" x14ac:dyDescent="0.25">
      <c r="A538" s="138">
        <v>520.03</v>
      </c>
      <c r="B538" s="116" t="s">
        <v>1004</v>
      </c>
      <c r="C538" s="144">
        <v>1200</v>
      </c>
      <c r="D538" s="145">
        <v>289</v>
      </c>
      <c r="E538" s="145">
        <v>434</v>
      </c>
      <c r="F538" s="145">
        <v>1000</v>
      </c>
      <c r="G538" s="139">
        <v>0</v>
      </c>
      <c r="H538" s="139">
        <v>0</v>
      </c>
      <c r="I538" s="120">
        <v>0</v>
      </c>
      <c r="J538" s="120">
        <v>7000</v>
      </c>
      <c r="K538" s="120">
        <v>7000</v>
      </c>
    </row>
    <row r="539" spans="1:13" s="179" customFormat="1" x14ac:dyDescent="0.25">
      <c r="A539" s="138">
        <v>520.04</v>
      </c>
      <c r="B539" s="116" t="s">
        <v>197</v>
      </c>
      <c r="C539" s="144">
        <v>1200</v>
      </c>
      <c r="D539" s="145">
        <v>289</v>
      </c>
      <c r="E539" s="145">
        <v>434</v>
      </c>
      <c r="F539" s="145">
        <v>1000</v>
      </c>
      <c r="G539" s="139">
        <v>0</v>
      </c>
      <c r="H539" s="139">
        <v>0</v>
      </c>
      <c r="I539" s="120">
        <v>0</v>
      </c>
      <c r="J539" s="120">
        <v>2850</v>
      </c>
      <c r="K539" s="120">
        <v>2850</v>
      </c>
      <c r="L539" s="96"/>
      <c r="M539" s="96"/>
    </row>
    <row r="540" spans="1:13" x14ac:dyDescent="0.25">
      <c r="A540" s="138">
        <v>520.05999999999995</v>
      </c>
      <c r="B540" s="338" t="s">
        <v>1005</v>
      </c>
      <c r="C540" s="144">
        <v>1000</v>
      </c>
      <c r="D540" s="145">
        <v>174</v>
      </c>
      <c r="E540" s="145">
        <v>261</v>
      </c>
      <c r="F540" s="145">
        <v>1800</v>
      </c>
      <c r="G540" s="139">
        <v>0</v>
      </c>
      <c r="H540" s="139">
        <v>0</v>
      </c>
      <c r="I540" s="120">
        <v>0</v>
      </c>
      <c r="J540" s="120">
        <v>2000</v>
      </c>
      <c r="K540" s="120">
        <v>2000</v>
      </c>
      <c r="M540" s="157"/>
    </row>
    <row r="541" spans="1:13" x14ac:dyDescent="0.25">
      <c r="A541" s="138">
        <v>521.07000000000005</v>
      </c>
      <c r="B541" s="116" t="s">
        <v>693</v>
      </c>
      <c r="C541" s="144">
        <v>1000</v>
      </c>
      <c r="D541" s="145">
        <v>174</v>
      </c>
      <c r="E541" s="145">
        <v>261</v>
      </c>
      <c r="F541" s="145">
        <v>1800</v>
      </c>
      <c r="G541" s="139">
        <v>0</v>
      </c>
      <c r="H541" s="139">
        <v>0</v>
      </c>
      <c r="I541" s="120">
        <v>0</v>
      </c>
      <c r="J541" s="120">
        <v>350</v>
      </c>
      <c r="K541" s="120">
        <v>350</v>
      </c>
    </row>
    <row r="542" spans="1:13" x14ac:dyDescent="0.25">
      <c r="A542" s="138">
        <v>520.1</v>
      </c>
      <c r="B542" s="116" t="s">
        <v>895</v>
      </c>
      <c r="C542" s="144"/>
      <c r="D542" s="145"/>
      <c r="E542" s="145"/>
      <c r="F542" s="145">
        <v>0</v>
      </c>
      <c r="G542" s="139">
        <v>0</v>
      </c>
      <c r="H542" s="139">
        <v>0</v>
      </c>
      <c r="I542" s="120">
        <v>0</v>
      </c>
      <c r="J542" s="120">
        <v>125</v>
      </c>
      <c r="K542" s="120">
        <v>125</v>
      </c>
      <c r="M542" s="146"/>
    </row>
    <row r="543" spans="1:13" s="157" customFormat="1" x14ac:dyDescent="0.25">
      <c r="A543" s="141">
        <v>520.12</v>
      </c>
      <c r="B543" s="125" t="s">
        <v>237</v>
      </c>
      <c r="C543" s="144"/>
      <c r="D543" s="145"/>
      <c r="E543" s="145"/>
      <c r="F543" s="145"/>
      <c r="G543" s="205">
        <v>0</v>
      </c>
      <c r="H543" s="205">
        <v>0</v>
      </c>
      <c r="I543" s="129">
        <v>0</v>
      </c>
      <c r="J543" s="129">
        <v>0</v>
      </c>
      <c r="K543" s="129">
        <v>0</v>
      </c>
      <c r="L543" s="96"/>
    </row>
    <row r="544" spans="1:13" ht="18.75" thickBot="1" x14ac:dyDescent="0.3">
      <c r="A544" s="142" t="s">
        <v>230</v>
      </c>
      <c r="B544" s="148"/>
      <c r="C544" s="149"/>
      <c r="D544" s="150"/>
      <c r="E544" s="150"/>
      <c r="F544" s="150">
        <f>SUM(F536:F542)</f>
        <v>7000</v>
      </c>
      <c r="G544" s="136">
        <f>SUM(G536:G543)</f>
        <v>0</v>
      </c>
      <c r="H544" s="136">
        <f>SUM(H536:H543)</f>
        <v>0</v>
      </c>
      <c r="I544" s="136">
        <f>SUM(I536:I543)</f>
        <v>0</v>
      </c>
      <c r="J544" s="136">
        <f>SUM(J536:J543)</f>
        <v>14025</v>
      </c>
      <c r="K544" s="136">
        <f>SUM(K536:K543)</f>
        <v>14025</v>
      </c>
    </row>
    <row r="545" spans="1:13" x14ac:dyDescent="0.25">
      <c r="A545" s="138">
        <v>530.01</v>
      </c>
      <c r="B545" s="116" t="s">
        <v>201</v>
      </c>
      <c r="C545" s="144">
        <v>500</v>
      </c>
      <c r="D545" s="145">
        <v>0</v>
      </c>
      <c r="E545" s="145">
        <v>0</v>
      </c>
      <c r="F545" s="145">
        <v>2300</v>
      </c>
      <c r="G545" s="139">
        <v>0</v>
      </c>
      <c r="H545" s="139">
        <v>0</v>
      </c>
      <c r="I545" s="120">
        <v>0</v>
      </c>
      <c r="J545" s="120">
        <v>5500</v>
      </c>
      <c r="K545" s="120">
        <v>5500</v>
      </c>
      <c r="L545" s="146"/>
    </row>
    <row r="546" spans="1:13" x14ac:dyDescent="0.25">
      <c r="A546" s="138">
        <v>530.03</v>
      </c>
      <c r="B546" s="116" t="s">
        <v>596</v>
      </c>
      <c r="C546" s="144"/>
      <c r="D546" s="145"/>
      <c r="E546" s="145"/>
      <c r="F546" s="145">
        <v>0</v>
      </c>
      <c r="G546" s="139">
        <v>0</v>
      </c>
      <c r="H546" s="139">
        <v>0</v>
      </c>
      <c r="I546" s="120">
        <v>0</v>
      </c>
      <c r="J546" s="120">
        <v>0</v>
      </c>
      <c r="K546" s="121">
        <v>0</v>
      </c>
      <c r="L546" s="146"/>
    </row>
    <row r="547" spans="1:13" x14ac:dyDescent="0.25">
      <c r="A547" s="138">
        <v>530.04</v>
      </c>
      <c r="B547" s="116" t="s">
        <v>169</v>
      </c>
      <c r="C547" s="144"/>
      <c r="D547" s="145"/>
      <c r="E547" s="145"/>
      <c r="F547" s="145"/>
      <c r="G547" s="139">
        <v>0</v>
      </c>
      <c r="H547" s="139">
        <v>0</v>
      </c>
      <c r="I547" s="120">
        <v>0</v>
      </c>
      <c r="J547" s="120">
        <v>0</v>
      </c>
      <c r="K547" s="121">
        <v>0</v>
      </c>
      <c r="L547" s="146"/>
    </row>
    <row r="548" spans="1:13" x14ac:dyDescent="0.25">
      <c r="A548" s="138">
        <v>530.04999999999995</v>
      </c>
      <c r="B548" s="116" t="s">
        <v>20</v>
      </c>
      <c r="C548" s="144">
        <v>500</v>
      </c>
      <c r="D548" s="145">
        <v>0</v>
      </c>
      <c r="E548" s="145">
        <v>0</v>
      </c>
      <c r="F548" s="145">
        <v>300</v>
      </c>
      <c r="G548" s="139">
        <v>0</v>
      </c>
      <c r="H548" s="139">
        <v>0</v>
      </c>
      <c r="I548" s="120">
        <v>0</v>
      </c>
      <c r="J548" s="120">
        <v>2500</v>
      </c>
      <c r="K548" s="121">
        <v>2500</v>
      </c>
      <c r="L548" s="146"/>
    </row>
    <row r="549" spans="1:13" x14ac:dyDescent="0.25">
      <c r="A549" s="138">
        <v>530.05999999999995</v>
      </c>
      <c r="B549" s="116" t="s">
        <v>1006</v>
      </c>
      <c r="C549" s="144"/>
      <c r="D549" s="145"/>
      <c r="E549" s="145"/>
      <c r="F549" s="145">
        <v>0</v>
      </c>
      <c r="G549" s="139">
        <v>0</v>
      </c>
      <c r="H549" s="139">
        <v>0</v>
      </c>
      <c r="I549" s="120">
        <v>0</v>
      </c>
      <c r="J549" s="120">
        <v>800</v>
      </c>
      <c r="K549" s="121">
        <v>800</v>
      </c>
      <c r="L549" s="146"/>
    </row>
    <row r="550" spans="1:13" x14ac:dyDescent="0.25">
      <c r="A550" s="138">
        <v>530.11</v>
      </c>
      <c r="B550" s="116" t="s">
        <v>2</v>
      </c>
      <c r="C550" s="144"/>
      <c r="D550" s="145"/>
      <c r="E550" s="145"/>
      <c r="F550" s="145"/>
      <c r="G550" s="139">
        <v>0</v>
      </c>
      <c r="H550" s="139">
        <v>0</v>
      </c>
      <c r="I550" s="120">
        <v>0</v>
      </c>
      <c r="J550" s="120">
        <v>500</v>
      </c>
      <c r="K550" s="121">
        <v>500</v>
      </c>
    </row>
    <row r="551" spans="1:13" x14ac:dyDescent="0.25">
      <c r="A551" s="138">
        <v>530.13</v>
      </c>
      <c r="B551" s="116" t="s">
        <v>172</v>
      </c>
      <c r="C551" s="144"/>
      <c r="D551" s="145"/>
      <c r="E551" s="145"/>
      <c r="F551" s="145"/>
      <c r="G551" s="139">
        <v>0</v>
      </c>
      <c r="H551" s="139">
        <v>0</v>
      </c>
      <c r="I551" s="120">
        <v>0</v>
      </c>
      <c r="J551" s="120">
        <v>0</v>
      </c>
      <c r="K551" s="121">
        <v>0</v>
      </c>
    </row>
    <row r="552" spans="1:13" x14ac:dyDescent="0.25">
      <c r="A552" s="141">
        <v>530.15</v>
      </c>
      <c r="B552" s="125" t="s">
        <v>875</v>
      </c>
      <c r="C552" s="144">
        <v>1500</v>
      </c>
      <c r="D552" s="145">
        <v>306</v>
      </c>
      <c r="E552" s="145">
        <v>460</v>
      </c>
      <c r="F552" s="145">
        <v>44000</v>
      </c>
      <c r="G552" s="205">
        <v>0</v>
      </c>
      <c r="H552" s="205">
        <v>0</v>
      </c>
      <c r="I552" s="129">
        <v>0</v>
      </c>
      <c r="J552" s="129">
        <v>14500</v>
      </c>
      <c r="K552" s="129">
        <v>14500</v>
      </c>
      <c r="L552" s="146"/>
    </row>
    <row r="553" spans="1:13" s="179" customFormat="1" ht="18.75" thickBot="1" x14ac:dyDescent="0.3">
      <c r="A553" s="142" t="s">
        <v>167</v>
      </c>
      <c r="B553" s="148"/>
      <c r="C553" s="149"/>
      <c r="D553" s="150"/>
      <c r="E553" s="150"/>
      <c r="F553" s="150">
        <f t="shared" ref="F553:K553" si="65">SUM(F545:F552)</f>
        <v>46600</v>
      </c>
      <c r="G553" s="136">
        <f t="shared" si="65"/>
        <v>0</v>
      </c>
      <c r="H553" s="136">
        <f t="shared" si="65"/>
        <v>0</v>
      </c>
      <c r="I553" s="136">
        <f t="shared" si="65"/>
        <v>0</v>
      </c>
      <c r="J553" s="136">
        <f t="shared" si="65"/>
        <v>23800</v>
      </c>
      <c r="K553" s="136">
        <f t="shared" si="65"/>
        <v>23800</v>
      </c>
      <c r="L553" s="96"/>
    </row>
    <row r="554" spans="1:13" x14ac:dyDescent="0.25">
      <c r="A554" s="141">
        <v>540.07000000000005</v>
      </c>
      <c r="B554" s="339" t="s">
        <v>1007</v>
      </c>
      <c r="C554" s="144">
        <v>0</v>
      </c>
      <c r="D554" s="145">
        <v>0</v>
      </c>
      <c r="E554" s="145">
        <v>0</v>
      </c>
      <c r="F554" s="145">
        <v>20000</v>
      </c>
      <c r="G554" s="205">
        <v>0</v>
      </c>
      <c r="H554" s="205">
        <v>0</v>
      </c>
      <c r="I554" s="129">
        <v>0</v>
      </c>
      <c r="J554" s="129">
        <v>16000</v>
      </c>
      <c r="K554" s="129">
        <v>16000</v>
      </c>
    </row>
    <row r="555" spans="1:13" ht="18.75" thickBot="1" x14ac:dyDescent="0.3">
      <c r="A555" s="142" t="s">
        <v>215</v>
      </c>
      <c r="B555" s="148"/>
      <c r="C555" s="149"/>
      <c r="D555" s="150"/>
      <c r="E555" s="150"/>
      <c r="F555" s="150">
        <f t="shared" ref="F555:K555" si="66">SUM(F554)</f>
        <v>20000</v>
      </c>
      <c r="G555" s="136">
        <f t="shared" si="66"/>
        <v>0</v>
      </c>
      <c r="H555" s="136">
        <f t="shared" si="66"/>
        <v>0</v>
      </c>
      <c r="I555" s="136">
        <f t="shared" si="66"/>
        <v>0</v>
      </c>
      <c r="J555" s="136">
        <f t="shared" si="66"/>
        <v>16000</v>
      </c>
      <c r="K555" s="136">
        <f t="shared" si="66"/>
        <v>16000</v>
      </c>
    </row>
    <row r="556" spans="1:13" s="157" customFormat="1" x14ac:dyDescent="0.25">
      <c r="A556" s="138">
        <v>550.01</v>
      </c>
      <c r="B556" s="116" t="s">
        <v>203</v>
      </c>
      <c r="C556" s="144">
        <v>1800</v>
      </c>
      <c r="D556" s="145">
        <v>487</v>
      </c>
      <c r="E556" s="145">
        <v>731</v>
      </c>
      <c r="F556" s="145">
        <v>250</v>
      </c>
      <c r="G556" s="120">
        <v>0</v>
      </c>
      <c r="H556" s="139">
        <v>0</v>
      </c>
      <c r="I556" s="120">
        <v>0</v>
      </c>
      <c r="J556" s="121">
        <v>250</v>
      </c>
      <c r="K556" s="120">
        <v>250</v>
      </c>
      <c r="L556" s="96"/>
      <c r="M556" s="179"/>
    </row>
    <row r="557" spans="1:13" x14ac:dyDescent="0.25">
      <c r="A557" s="138">
        <v>550.03</v>
      </c>
      <c r="B557" s="116" t="s">
        <v>896</v>
      </c>
      <c r="C557" s="178">
        <v>3000</v>
      </c>
      <c r="D557" s="145">
        <v>1997</v>
      </c>
      <c r="E557" s="145">
        <v>2995</v>
      </c>
      <c r="F557" s="156">
        <v>500</v>
      </c>
      <c r="G557" s="121">
        <v>0</v>
      </c>
      <c r="H557" s="139">
        <v>0</v>
      </c>
      <c r="I557" s="121">
        <v>0</v>
      </c>
      <c r="J557" s="120">
        <v>1500</v>
      </c>
      <c r="K557" s="120">
        <v>1500</v>
      </c>
    </row>
    <row r="558" spans="1:13" x14ac:dyDescent="0.25">
      <c r="A558" s="138">
        <v>551.04</v>
      </c>
      <c r="B558" s="116" t="s">
        <v>205</v>
      </c>
      <c r="C558" s="178">
        <v>3000</v>
      </c>
      <c r="D558" s="145">
        <v>1997</v>
      </c>
      <c r="E558" s="145">
        <v>2995</v>
      </c>
      <c r="F558" s="156">
        <v>500</v>
      </c>
      <c r="G558" s="121">
        <v>0</v>
      </c>
      <c r="H558" s="139">
        <v>0</v>
      </c>
      <c r="I558" s="121">
        <v>0</v>
      </c>
      <c r="J558" s="120">
        <v>1000</v>
      </c>
      <c r="K558" s="120">
        <v>1000</v>
      </c>
    </row>
    <row r="559" spans="1:13" s="179" customFormat="1" ht="18.75" thickBot="1" x14ac:dyDescent="0.3">
      <c r="A559" s="142" t="s">
        <v>233</v>
      </c>
      <c r="B559" s="148"/>
      <c r="C559" s="340"/>
      <c r="D559" s="135"/>
      <c r="E559" s="135"/>
      <c r="F559" s="341">
        <f>SUM(F556:F557)</f>
        <v>750</v>
      </c>
      <c r="G559" s="182">
        <f>SUM(G556:G558)</f>
        <v>0</v>
      </c>
      <c r="H559" s="182">
        <f t="shared" ref="H559:J559" si="67">SUM(H556:H558)</f>
        <v>0</v>
      </c>
      <c r="I559" s="182">
        <f t="shared" si="67"/>
        <v>0</v>
      </c>
      <c r="J559" s="182">
        <f t="shared" si="67"/>
        <v>2750</v>
      </c>
      <c r="K559" s="136">
        <f>SUM(K556:K558)</f>
        <v>2750</v>
      </c>
      <c r="L559" s="96"/>
    </row>
    <row r="560" spans="1:13" x14ac:dyDescent="0.25">
      <c r="A560" s="141">
        <v>560.02</v>
      </c>
      <c r="B560" s="125" t="s">
        <v>179</v>
      </c>
      <c r="C560" s="178"/>
      <c r="D560" s="145"/>
      <c r="E560" s="145"/>
      <c r="F560" s="156">
        <v>100</v>
      </c>
      <c r="G560" s="205">
        <v>0</v>
      </c>
      <c r="H560" s="205">
        <v>0</v>
      </c>
      <c r="I560" s="129">
        <v>0</v>
      </c>
      <c r="J560" s="129">
        <v>250</v>
      </c>
      <c r="K560" s="129">
        <v>250</v>
      </c>
    </row>
    <row r="561" spans="1:13" x14ac:dyDescent="0.25">
      <c r="A561" s="342">
        <v>560.09</v>
      </c>
      <c r="B561" s="343" t="s">
        <v>496</v>
      </c>
      <c r="C561" s="178"/>
      <c r="D561" s="145"/>
      <c r="E561" s="145"/>
      <c r="F561" s="156"/>
      <c r="G561" s="139"/>
      <c r="H561" s="139"/>
      <c r="I561" s="120"/>
      <c r="J561" s="120"/>
      <c r="K561" s="120">
        <v>560</v>
      </c>
    </row>
    <row r="562" spans="1:13" s="157" customFormat="1" ht="18.75" thickBot="1" x14ac:dyDescent="0.3">
      <c r="A562" s="132" t="s">
        <v>178</v>
      </c>
      <c r="B562" s="148"/>
      <c r="C562" s="149"/>
      <c r="D562" s="279"/>
      <c r="E562" s="279"/>
      <c r="F562" s="150">
        <f>SUM(F560:F560)</f>
        <v>100</v>
      </c>
      <c r="G562" s="136">
        <f>SUM(G560:G560)</f>
        <v>0</v>
      </c>
      <c r="H562" s="136">
        <f>SUM(H560:H560)</f>
        <v>0</v>
      </c>
      <c r="I562" s="136">
        <f>SUM(I560:I560)</f>
        <v>0</v>
      </c>
      <c r="J562" s="136">
        <f>SUM(J560:J560)</f>
        <v>250</v>
      </c>
      <c r="K562" s="136">
        <f>SUM(K560:K561)</f>
        <v>810</v>
      </c>
      <c r="L562" s="96"/>
    </row>
    <row r="563" spans="1:13" x14ac:dyDescent="0.25">
      <c r="A563" s="125">
        <v>580.01</v>
      </c>
      <c r="B563" s="125" t="s">
        <v>805</v>
      </c>
      <c r="C563" s="144"/>
      <c r="D563" s="194"/>
      <c r="E563" s="194"/>
      <c r="F563" s="145"/>
      <c r="G563" s="129">
        <v>0</v>
      </c>
      <c r="H563" s="129">
        <v>0</v>
      </c>
      <c r="I563" s="129">
        <v>0</v>
      </c>
      <c r="J563" s="147">
        <v>1795</v>
      </c>
      <c r="K563" s="129">
        <v>1795</v>
      </c>
    </row>
    <row r="564" spans="1:13" x14ac:dyDescent="0.25">
      <c r="A564" s="344" t="s">
        <v>806</v>
      </c>
      <c r="B564" s="324"/>
      <c r="C564" s="144"/>
      <c r="D564" s="194"/>
      <c r="E564" s="194"/>
      <c r="F564" s="145"/>
      <c r="G564" s="210">
        <f>SUM(G563)</f>
        <v>0</v>
      </c>
      <c r="H564" s="210">
        <f>SUM(H563)</f>
        <v>0</v>
      </c>
      <c r="I564" s="210">
        <f>SUM(I563)</f>
        <v>0</v>
      </c>
      <c r="J564" s="336">
        <f>SUM(J563)</f>
        <v>1795</v>
      </c>
      <c r="K564" s="210">
        <f>SUM(K563)</f>
        <v>1795</v>
      </c>
    </row>
    <row r="565" spans="1:13" s="146" customFormat="1" x14ac:dyDescent="0.25">
      <c r="A565" s="108">
        <v>590.01</v>
      </c>
      <c r="B565" s="108" t="s">
        <v>203</v>
      </c>
      <c r="C565" s="144"/>
      <c r="D565" s="194"/>
      <c r="E565" s="194"/>
      <c r="F565" s="145">
        <v>2600</v>
      </c>
      <c r="G565" s="113">
        <v>0</v>
      </c>
      <c r="H565" s="113">
        <v>0</v>
      </c>
      <c r="I565" s="113">
        <v>0</v>
      </c>
      <c r="J565" s="112">
        <v>500</v>
      </c>
      <c r="K565" s="113">
        <v>500</v>
      </c>
      <c r="L565" s="96"/>
    </row>
    <row r="566" spans="1:13" x14ac:dyDescent="0.25">
      <c r="A566" s="116">
        <v>590.02</v>
      </c>
      <c r="B566" s="116" t="s">
        <v>597</v>
      </c>
      <c r="C566" s="144"/>
      <c r="D566" s="194"/>
      <c r="E566" s="194"/>
      <c r="F566" s="145"/>
      <c r="G566" s="120">
        <v>0</v>
      </c>
      <c r="H566" s="120">
        <v>0</v>
      </c>
      <c r="I566" s="120">
        <v>0</v>
      </c>
      <c r="J566" s="120">
        <v>1500</v>
      </c>
      <c r="K566" s="120">
        <v>1500</v>
      </c>
    </row>
    <row r="567" spans="1:13" x14ac:dyDescent="0.25">
      <c r="A567" s="116">
        <v>590.03</v>
      </c>
      <c r="B567" s="116" t="s">
        <v>499</v>
      </c>
      <c r="C567" s="144"/>
      <c r="D567" s="194"/>
      <c r="E567" s="194"/>
      <c r="F567" s="145"/>
      <c r="G567" s="120">
        <v>0</v>
      </c>
      <c r="H567" s="120">
        <v>0</v>
      </c>
      <c r="I567" s="120">
        <v>0</v>
      </c>
      <c r="J567" s="120">
        <v>8218</v>
      </c>
      <c r="K567" s="120">
        <v>8218</v>
      </c>
      <c r="L567" s="180"/>
    </row>
    <row r="568" spans="1:13" x14ac:dyDescent="0.25">
      <c r="A568" s="125">
        <v>590.04</v>
      </c>
      <c r="B568" s="125" t="s">
        <v>205</v>
      </c>
      <c r="C568" s="144"/>
      <c r="D568" s="194"/>
      <c r="E568" s="194"/>
      <c r="F568" s="145">
        <v>10000</v>
      </c>
      <c r="G568" s="129">
        <v>0</v>
      </c>
      <c r="H568" s="129">
        <v>0</v>
      </c>
      <c r="I568" s="129">
        <v>0</v>
      </c>
      <c r="J568" s="129">
        <v>6881</v>
      </c>
      <c r="K568" s="129">
        <v>6881</v>
      </c>
      <c r="L568" s="180"/>
    </row>
    <row r="569" spans="1:13" ht="18.75" thickBot="1" x14ac:dyDescent="0.3">
      <c r="A569" s="291" t="s">
        <v>274</v>
      </c>
      <c r="B569" s="292"/>
      <c r="C569" s="178"/>
      <c r="D569" s="473"/>
      <c r="E569" s="473"/>
      <c r="F569" s="156">
        <f t="shared" ref="F569:K569" si="68">SUM(F565:F568)</f>
        <v>12600</v>
      </c>
      <c r="G569" s="112">
        <f t="shared" si="68"/>
        <v>0</v>
      </c>
      <c r="H569" s="112">
        <f t="shared" si="68"/>
        <v>0</v>
      </c>
      <c r="I569" s="112">
        <f t="shared" si="68"/>
        <v>0</v>
      </c>
      <c r="J569" s="112">
        <f t="shared" si="68"/>
        <v>17099</v>
      </c>
      <c r="K569" s="112">
        <f t="shared" si="68"/>
        <v>17099</v>
      </c>
    </row>
    <row r="570" spans="1:13" ht="18.75" thickBot="1" x14ac:dyDescent="0.3">
      <c r="A570" s="524" t="s">
        <v>1016</v>
      </c>
      <c r="B570" s="525"/>
      <c r="C570" s="445">
        <f>SUM(C526:C562)</f>
        <v>51420</v>
      </c>
      <c r="D570" s="469">
        <f>SUM(D526:D562)</f>
        <v>28254</v>
      </c>
      <c r="E570" s="469">
        <f>SUM(E526:E562)</f>
        <v>42381.5</v>
      </c>
      <c r="F570" s="469">
        <f>SUM(F535+F544+F553+F555+F559+F562+F569)</f>
        <v>178092.46000000002</v>
      </c>
      <c r="G570" s="470">
        <f>SUM(G535+G544+G553+G555+G559+G562+G564+G569)</f>
        <v>0</v>
      </c>
      <c r="H570" s="470">
        <f>SUM(H535+H544+H553+H555+H559+H562+H564+H569)</f>
        <v>0</v>
      </c>
      <c r="I570" s="470">
        <f>SUM(I535+I544+I553+I555+I559+I562+I564+I569)</f>
        <v>0</v>
      </c>
      <c r="J570" s="470">
        <f>SUM(J535+J544+J553+J555+J559+J562+J564+J569)</f>
        <v>212669.40953400001</v>
      </c>
      <c r="K570" s="470">
        <f>SUM(K535+K544+K553+K555+K559+K562+K564+K569)</f>
        <v>220162</v>
      </c>
    </row>
    <row r="571" spans="1:13" x14ac:dyDescent="0.25">
      <c r="A571" s="228"/>
      <c r="B571" s="228"/>
      <c r="C571" s="228"/>
      <c r="D571" s="228"/>
      <c r="E571" s="228"/>
      <c r="F571" s="228"/>
      <c r="G571" s="310"/>
      <c r="H571" s="310"/>
      <c r="I571" s="310"/>
      <c r="J571" s="310"/>
      <c r="K571" s="228"/>
    </row>
    <row r="572" spans="1:13" s="157" customFormat="1" x14ac:dyDescent="0.25">
      <c r="A572" s="98"/>
      <c r="B572" s="193"/>
      <c r="C572" s="218"/>
      <c r="D572" s="194"/>
      <c r="E572" s="194"/>
      <c r="F572" s="218"/>
      <c r="G572" s="211"/>
      <c r="H572" s="211"/>
      <c r="I572" s="163"/>
      <c r="J572" s="163"/>
      <c r="K572" s="98"/>
      <c r="L572" s="171"/>
      <c r="M572" s="96"/>
    </row>
    <row r="573" spans="1:13" x14ac:dyDescent="0.25">
      <c r="A573" s="98"/>
      <c r="B573" s="193" t="s">
        <v>24</v>
      </c>
      <c r="C573" s="189">
        <v>2176167</v>
      </c>
      <c r="D573" s="194">
        <v>1327519</v>
      </c>
      <c r="E573" s="194">
        <v>2029002</v>
      </c>
      <c r="F573" s="194" t="e">
        <f>SUM(F125+F178+F228+F271+F318+F374+F392+F411+F425+F475+F523)</f>
        <v>#REF!</v>
      </c>
      <c r="G573" s="297">
        <f>SUM(G125+G178+G228+G271+G318+G374+G392+G411+G425+G475+G523+G570)</f>
        <v>3799360</v>
      </c>
      <c r="H573" s="297">
        <f>SUM(H125+H178+H228+H271+H318+H374+H392+H411+H425+H475+H523+H570)</f>
        <v>2574125</v>
      </c>
      <c r="I573" s="297">
        <f>SUM(I125+I178+I228+I271+I318+I374+I392+I411+I425+I475+I523+I570)</f>
        <v>4064239.1861714283</v>
      </c>
      <c r="J573" s="345">
        <f>SUM(J125+J178+J228+J271+J318+J374+J392+J411+K425+J475+J523+J570)</f>
        <v>4226878.5199941332</v>
      </c>
      <c r="K573" s="345">
        <f>SUM(K125+K178+K228+K271+K318+K374+K392+K411+L425+K475+K523+K570+K425)</f>
        <v>4324333.6577333342</v>
      </c>
    </row>
    <row r="574" spans="1:13" x14ac:dyDescent="0.25">
      <c r="A574" s="157"/>
      <c r="B574" s="193" t="s">
        <v>48</v>
      </c>
      <c r="C574" s="157"/>
      <c r="F574" s="194" t="e">
        <f t="shared" ref="F574:K574" si="69">+SUM(F61-F573)</f>
        <v>#REF!</v>
      </c>
      <c r="G574" s="297">
        <f t="shared" si="69"/>
        <v>-133973</v>
      </c>
      <c r="H574" s="297">
        <f t="shared" si="69"/>
        <v>145604.04999999981</v>
      </c>
      <c r="I574" s="346">
        <f t="shared" si="69"/>
        <v>-262793.13617142849</v>
      </c>
      <c r="J574" s="346">
        <f t="shared" si="69"/>
        <v>182612.56000586692</v>
      </c>
      <c r="K574" s="346">
        <f t="shared" si="69"/>
        <v>46157.422266665846</v>
      </c>
    </row>
    <row r="575" spans="1:13" x14ac:dyDescent="0.25">
      <c r="G575" s="171"/>
      <c r="H575" s="171"/>
      <c r="I575" s="171"/>
      <c r="J575" s="163"/>
    </row>
    <row r="576" spans="1:13" x14ac:dyDescent="0.25">
      <c r="I576" s="146"/>
      <c r="J576" s="145"/>
    </row>
    <row r="577" spans="1:13" x14ac:dyDescent="0.25">
      <c r="A577" s="347"/>
      <c r="B577" s="102"/>
      <c r="C577" s="348"/>
      <c r="D577" s="348"/>
      <c r="E577" s="348"/>
      <c r="F577" s="348"/>
      <c r="G577" s="99"/>
      <c r="H577" s="100"/>
      <c r="I577" s="101" t="str">
        <f>+I2</f>
        <v xml:space="preserve"> Estimated</v>
      </c>
      <c r="J577" s="101" t="s">
        <v>1093</v>
      </c>
      <c r="K577" s="101" t="s">
        <v>1077</v>
      </c>
    </row>
    <row r="578" spans="1:13" x14ac:dyDescent="0.25">
      <c r="A578" s="349" t="s">
        <v>277</v>
      </c>
      <c r="B578" s="350"/>
      <c r="C578" s="330" t="s">
        <v>27</v>
      </c>
      <c r="D578" s="330" t="s">
        <v>30</v>
      </c>
      <c r="E578" s="330" t="s">
        <v>29</v>
      </c>
      <c r="F578" s="330" t="s">
        <v>405</v>
      </c>
      <c r="G578" s="105" t="str">
        <f>+G3</f>
        <v>Budget 2016-17</v>
      </c>
      <c r="H578" s="105" t="str">
        <f>+H3</f>
        <v>Actual 5/31/17</v>
      </c>
      <c r="I578" s="106">
        <f>+I3</f>
        <v>43008</v>
      </c>
      <c r="J578" s="105" t="str">
        <f>+J3</f>
        <v>Budget 2017-18</v>
      </c>
      <c r="K578" s="105" t="s">
        <v>1076</v>
      </c>
    </row>
    <row r="579" spans="1:13" x14ac:dyDescent="0.25">
      <c r="A579" s="176" t="s">
        <v>278</v>
      </c>
      <c r="B579" s="108" t="s">
        <v>279</v>
      </c>
      <c r="C579" s="144">
        <v>1950000</v>
      </c>
      <c r="D579" s="145">
        <v>1247402</v>
      </c>
      <c r="E579" s="144">
        <v>1900000</v>
      </c>
      <c r="F579" s="145">
        <v>690137</v>
      </c>
      <c r="G579" s="113">
        <v>910000</v>
      </c>
      <c r="H579" s="235">
        <v>550390</v>
      </c>
      <c r="I579" s="113">
        <f>+H579+(75000*4)</f>
        <v>850390</v>
      </c>
      <c r="J579" s="113">
        <f>(412624-17252-283130)*12</f>
        <v>1346904</v>
      </c>
      <c r="K579" s="113">
        <v>1346904</v>
      </c>
    </row>
    <row r="580" spans="1:13" x14ac:dyDescent="0.25">
      <c r="A580" s="138">
        <v>351.02</v>
      </c>
      <c r="B580" s="116" t="s">
        <v>280</v>
      </c>
      <c r="C580" s="144">
        <v>1090115</v>
      </c>
      <c r="D580" s="145">
        <v>905831</v>
      </c>
      <c r="E580" s="144">
        <v>1358747</v>
      </c>
      <c r="F580" s="145">
        <v>1407248</v>
      </c>
      <c r="G580" s="120">
        <v>1557000</v>
      </c>
      <c r="H580" s="120">
        <v>1118268</v>
      </c>
      <c r="I580" s="120">
        <f>+H580+(145000*4)</f>
        <v>1698268</v>
      </c>
      <c r="J580" s="120">
        <f>283130*12</f>
        <v>3397560</v>
      </c>
      <c r="K580" s="120">
        <v>3397560</v>
      </c>
      <c r="M580" s="157"/>
    </row>
    <row r="581" spans="1:13" x14ac:dyDescent="0.25">
      <c r="A581" s="138">
        <v>351.03</v>
      </c>
      <c r="B581" s="116" t="s">
        <v>281</v>
      </c>
      <c r="C581" s="144">
        <v>5000</v>
      </c>
      <c r="D581" s="145">
        <v>3440</v>
      </c>
      <c r="E581" s="144">
        <v>5000</v>
      </c>
      <c r="F581" s="145">
        <v>16000</v>
      </c>
      <c r="G581" s="120">
        <v>500</v>
      </c>
      <c r="H581" s="187">
        <v>0</v>
      </c>
      <c r="I581" s="120">
        <v>500</v>
      </c>
      <c r="J581" s="120">
        <v>0</v>
      </c>
      <c r="K581" s="120">
        <v>0</v>
      </c>
      <c r="M581" s="157"/>
    </row>
    <row r="582" spans="1:13" x14ac:dyDescent="0.25">
      <c r="A582" s="141">
        <v>351.04</v>
      </c>
      <c r="B582" s="125" t="s">
        <v>283</v>
      </c>
      <c r="C582" s="144"/>
      <c r="D582" s="145"/>
      <c r="E582" s="144"/>
      <c r="F582" s="145">
        <v>95615</v>
      </c>
      <c r="G582" s="129">
        <v>93000</v>
      </c>
      <c r="H582" s="129">
        <v>58684</v>
      </c>
      <c r="I582" s="129">
        <f>+H582+(7600*4)</f>
        <v>89084</v>
      </c>
      <c r="J582" s="129">
        <f>17252*12</f>
        <v>207024</v>
      </c>
      <c r="K582" s="129">
        <v>207024</v>
      </c>
    </row>
    <row r="583" spans="1:13" s="157" customFormat="1" ht="18.75" thickBot="1" x14ac:dyDescent="0.3">
      <c r="A583" s="142" t="s">
        <v>282</v>
      </c>
      <c r="B583" s="148"/>
      <c r="C583" s="149"/>
      <c r="D583" s="150"/>
      <c r="E583" s="149"/>
      <c r="F583" s="150">
        <f t="shared" ref="F583:K583" si="70">SUM(F579:F582)</f>
        <v>2209000</v>
      </c>
      <c r="G583" s="136">
        <f t="shared" si="70"/>
        <v>2560500</v>
      </c>
      <c r="H583" s="136">
        <f t="shared" si="70"/>
        <v>1727342</v>
      </c>
      <c r="I583" s="136">
        <f t="shared" si="70"/>
        <v>2638242</v>
      </c>
      <c r="J583" s="136">
        <f t="shared" si="70"/>
        <v>4951488</v>
      </c>
      <c r="K583" s="136">
        <f t="shared" si="70"/>
        <v>4951488</v>
      </c>
      <c r="L583" s="96"/>
      <c r="M583" s="96"/>
    </row>
    <row r="584" spans="1:13" x14ac:dyDescent="0.25">
      <c r="A584" s="138">
        <v>352.01</v>
      </c>
      <c r="B584" s="116" t="s">
        <v>284</v>
      </c>
      <c r="C584" s="144">
        <v>10000</v>
      </c>
      <c r="D584" s="145">
        <v>11650</v>
      </c>
      <c r="E584" s="144">
        <v>17475</v>
      </c>
      <c r="F584" s="145">
        <v>351400</v>
      </c>
      <c r="G584" s="187">
        <v>402000</v>
      </c>
      <c r="H584" s="120">
        <v>257627</v>
      </c>
      <c r="I584" s="187">
        <f>+H584+(33600*4)</f>
        <v>392027</v>
      </c>
      <c r="J584" s="120">
        <f>(250058-23302-152474)*12</f>
        <v>891384</v>
      </c>
      <c r="K584" s="120">
        <f>(250058-23302-152474)*12</f>
        <v>891384</v>
      </c>
    </row>
    <row r="585" spans="1:13" x14ac:dyDescent="0.25">
      <c r="A585" s="138">
        <v>352.02</v>
      </c>
      <c r="B585" s="116" t="s">
        <v>285</v>
      </c>
      <c r="C585" s="144">
        <v>2000</v>
      </c>
      <c r="D585" s="145">
        <v>1450</v>
      </c>
      <c r="E585" s="144">
        <v>2175</v>
      </c>
      <c r="F585" s="145">
        <v>1401200</v>
      </c>
      <c r="G585" s="120">
        <v>1188000</v>
      </c>
      <c r="H585" s="120">
        <v>885846</v>
      </c>
      <c r="I585" s="120">
        <f>+H585+(110000*4)</f>
        <v>1325846</v>
      </c>
      <c r="J585" s="120">
        <f>152474*12</f>
        <v>1829688</v>
      </c>
      <c r="K585" s="120">
        <f>152474*12</f>
        <v>1829688</v>
      </c>
    </row>
    <row r="586" spans="1:13" x14ac:dyDescent="0.25">
      <c r="A586" s="138">
        <v>352.03</v>
      </c>
      <c r="B586" s="116" t="s">
        <v>286</v>
      </c>
      <c r="C586" s="144">
        <v>0</v>
      </c>
      <c r="D586" s="145">
        <v>0</v>
      </c>
      <c r="E586" s="144">
        <v>0</v>
      </c>
      <c r="F586" s="145">
        <v>279636</v>
      </c>
      <c r="G586" s="120">
        <v>279600</v>
      </c>
      <c r="H586" s="120">
        <v>186417</v>
      </c>
      <c r="I586" s="120">
        <f>+H586+(23302*4)</f>
        <v>279625</v>
      </c>
      <c r="J586" s="120">
        <f>9356*12</f>
        <v>112272</v>
      </c>
      <c r="K586" s="120">
        <f>9356*12</f>
        <v>112272</v>
      </c>
    </row>
    <row r="587" spans="1:13" x14ac:dyDescent="0.25">
      <c r="A587" s="138">
        <v>352.04</v>
      </c>
      <c r="B587" s="116" t="s">
        <v>287</v>
      </c>
      <c r="C587" s="144">
        <v>1000</v>
      </c>
      <c r="D587" s="145">
        <v>0</v>
      </c>
      <c r="E587" s="177">
        <v>0</v>
      </c>
      <c r="F587" s="145">
        <v>3000</v>
      </c>
      <c r="G587" s="120">
        <v>7400</v>
      </c>
      <c r="H587" s="120">
        <v>687</v>
      </c>
      <c r="I587" s="120">
        <v>2000</v>
      </c>
      <c r="J587" s="120">
        <v>2000</v>
      </c>
      <c r="K587" s="120">
        <v>2000</v>
      </c>
    </row>
    <row r="588" spans="1:13" x14ac:dyDescent="0.25">
      <c r="A588" s="138">
        <v>352.05</v>
      </c>
      <c r="B588" s="116" t="s">
        <v>288</v>
      </c>
      <c r="C588" s="144">
        <v>285000</v>
      </c>
      <c r="D588" s="145">
        <v>186417</v>
      </c>
      <c r="E588" s="144">
        <v>279625</v>
      </c>
      <c r="F588" s="145">
        <v>200</v>
      </c>
      <c r="G588" s="120">
        <v>500</v>
      </c>
      <c r="H588" s="120">
        <v>0</v>
      </c>
      <c r="I588" s="120">
        <v>500</v>
      </c>
      <c r="J588" s="120">
        <v>500</v>
      </c>
      <c r="K588" s="120">
        <v>500</v>
      </c>
      <c r="L588" s="180"/>
    </row>
    <row r="589" spans="1:13" x14ac:dyDescent="0.25">
      <c r="A589" s="141">
        <v>352.06</v>
      </c>
      <c r="B589" s="125" t="s">
        <v>701</v>
      </c>
      <c r="C589" s="144">
        <v>285000</v>
      </c>
      <c r="D589" s="145">
        <v>186417</v>
      </c>
      <c r="E589" s="144">
        <v>279625</v>
      </c>
      <c r="F589" s="145">
        <v>200</v>
      </c>
      <c r="G589" s="129">
        <v>51000</v>
      </c>
      <c r="H589" s="129">
        <v>31200</v>
      </c>
      <c r="I589" s="129">
        <v>51000</v>
      </c>
      <c r="J589" s="129">
        <v>50000</v>
      </c>
      <c r="K589" s="129">
        <v>50000</v>
      </c>
      <c r="L589" s="180"/>
    </row>
    <row r="590" spans="1:13" ht="18.75" thickBot="1" x14ac:dyDescent="0.3">
      <c r="A590" s="142" t="s">
        <v>289</v>
      </c>
      <c r="B590" s="148"/>
      <c r="C590" s="149"/>
      <c r="D590" s="150"/>
      <c r="E590" s="149"/>
      <c r="F590" s="150">
        <f t="shared" ref="F590:K590" si="71">SUM(F584:F589)</f>
        <v>2035636</v>
      </c>
      <c r="G590" s="136">
        <f t="shared" si="71"/>
        <v>1928500</v>
      </c>
      <c r="H590" s="136">
        <f t="shared" si="71"/>
        <v>1361777</v>
      </c>
      <c r="I590" s="136">
        <f t="shared" si="71"/>
        <v>2050998</v>
      </c>
      <c r="J590" s="136">
        <f t="shared" si="71"/>
        <v>2885844</v>
      </c>
      <c r="K590" s="136">
        <f t="shared" si="71"/>
        <v>2885844</v>
      </c>
      <c r="L590" s="180"/>
    </row>
    <row r="591" spans="1:13" x14ac:dyDescent="0.25">
      <c r="A591" s="138">
        <v>353.01</v>
      </c>
      <c r="B591" s="116" t="s">
        <v>291</v>
      </c>
      <c r="C591" s="144">
        <v>20000</v>
      </c>
      <c r="D591" s="145">
        <v>22351</v>
      </c>
      <c r="E591" s="144">
        <v>33525</v>
      </c>
      <c r="F591" s="145">
        <v>20000</v>
      </c>
      <c r="G591" s="120">
        <v>15000</v>
      </c>
      <c r="H591" s="120">
        <v>3884</v>
      </c>
      <c r="I591" s="120">
        <v>7000</v>
      </c>
      <c r="J591" s="120">
        <v>7500</v>
      </c>
      <c r="K591" s="120">
        <v>7500</v>
      </c>
    </row>
    <row r="592" spans="1:13" x14ac:dyDescent="0.25">
      <c r="A592" s="141">
        <v>353.02</v>
      </c>
      <c r="B592" s="125" t="s">
        <v>292</v>
      </c>
      <c r="C592" s="144">
        <v>0</v>
      </c>
      <c r="D592" s="145">
        <v>0</v>
      </c>
      <c r="E592" s="144">
        <v>0</v>
      </c>
      <c r="F592" s="145">
        <v>6500</v>
      </c>
      <c r="G592" s="129">
        <v>4000</v>
      </c>
      <c r="H592" s="129">
        <v>800</v>
      </c>
      <c r="I592" s="129">
        <v>2000</v>
      </c>
      <c r="J592" s="129">
        <v>2000</v>
      </c>
      <c r="K592" s="129">
        <v>2000</v>
      </c>
    </row>
    <row r="593" spans="1:12" ht="18.75" thickBot="1" x14ac:dyDescent="0.3">
      <c r="A593" s="142" t="s">
        <v>290</v>
      </c>
      <c r="B593" s="148"/>
      <c r="C593" s="149"/>
      <c r="D593" s="150"/>
      <c r="E593" s="149"/>
      <c r="F593" s="150">
        <f t="shared" ref="F593:K593" si="72">SUM(F591:F592)</f>
        <v>26500</v>
      </c>
      <c r="G593" s="136">
        <f t="shared" si="72"/>
        <v>19000</v>
      </c>
      <c r="H593" s="136">
        <f t="shared" si="72"/>
        <v>4684</v>
      </c>
      <c r="I593" s="136">
        <f t="shared" si="72"/>
        <v>9000</v>
      </c>
      <c r="J593" s="136">
        <f t="shared" si="72"/>
        <v>9500</v>
      </c>
      <c r="K593" s="136">
        <f t="shared" si="72"/>
        <v>9500</v>
      </c>
    </row>
    <row r="594" spans="1:12" x14ac:dyDescent="0.25">
      <c r="A594" s="138">
        <v>354.01</v>
      </c>
      <c r="B594" s="116" t="s">
        <v>26</v>
      </c>
      <c r="C594" s="144">
        <v>1500</v>
      </c>
      <c r="D594" s="145">
        <v>1825</v>
      </c>
      <c r="E594" s="144">
        <v>2737</v>
      </c>
      <c r="F594" s="145">
        <v>15000</v>
      </c>
      <c r="G594" s="120">
        <v>26000</v>
      </c>
      <c r="H594" s="120">
        <v>16600</v>
      </c>
      <c r="I594" s="120">
        <v>26000</v>
      </c>
      <c r="J594" s="120">
        <v>26000</v>
      </c>
      <c r="K594" s="120">
        <v>26000</v>
      </c>
    </row>
    <row r="595" spans="1:12" x14ac:dyDescent="0.25">
      <c r="A595" s="138">
        <v>354.02</v>
      </c>
      <c r="B595" s="116" t="s">
        <v>294</v>
      </c>
      <c r="C595" s="144">
        <v>50</v>
      </c>
      <c r="D595" s="145">
        <v>78</v>
      </c>
      <c r="E595" s="144">
        <v>78</v>
      </c>
      <c r="F595" s="145">
        <v>35000</v>
      </c>
      <c r="G595" s="120">
        <v>41000</v>
      </c>
      <c r="H595" s="120">
        <v>31907</v>
      </c>
      <c r="I595" s="120">
        <v>45000</v>
      </c>
      <c r="J595" s="120">
        <v>41000</v>
      </c>
      <c r="K595" s="120">
        <v>41000</v>
      </c>
    </row>
    <row r="596" spans="1:12" x14ac:dyDescent="0.25">
      <c r="A596" s="141">
        <v>354.03</v>
      </c>
      <c r="B596" s="125" t="s">
        <v>540</v>
      </c>
      <c r="C596" s="144"/>
      <c r="D596" s="145"/>
      <c r="E596" s="144"/>
      <c r="F596" s="145"/>
      <c r="G596" s="129">
        <v>0</v>
      </c>
      <c r="H596" s="129">
        <v>0</v>
      </c>
      <c r="I596" s="129">
        <v>0</v>
      </c>
      <c r="J596" s="129">
        <v>0</v>
      </c>
      <c r="K596" s="129">
        <v>0</v>
      </c>
    </row>
    <row r="597" spans="1:12" ht="18.75" thickBot="1" x14ac:dyDescent="0.3">
      <c r="A597" s="142" t="s">
        <v>293</v>
      </c>
      <c r="B597" s="148"/>
      <c r="C597" s="149"/>
      <c r="D597" s="150"/>
      <c r="E597" s="149"/>
      <c r="F597" s="150">
        <f>SUM(F594:F595)</f>
        <v>50000</v>
      </c>
      <c r="G597" s="136">
        <f>SUM(G594:G596)</f>
        <v>67000</v>
      </c>
      <c r="H597" s="136">
        <f>SUM(H594:H596)</f>
        <v>48507</v>
      </c>
      <c r="I597" s="136">
        <f>SUM(I594:I596)</f>
        <v>71000</v>
      </c>
      <c r="J597" s="136">
        <f>SUM(J594:J596)</f>
        <v>67000</v>
      </c>
      <c r="K597" s="136">
        <f>SUM(K594:K596)</f>
        <v>67000</v>
      </c>
    </row>
    <row r="598" spans="1:12" x14ac:dyDescent="0.25">
      <c r="A598" s="138">
        <v>355.01</v>
      </c>
      <c r="B598" s="116" t="s">
        <v>296</v>
      </c>
      <c r="C598" s="144">
        <v>36000</v>
      </c>
      <c r="D598" s="145">
        <v>4680</v>
      </c>
      <c r="E598" s="144">
        <v>7020</v>
      </c>
      <c r="F598" s="145">
        <v>4700</v>
      </c>
      <c r="G598" s="120">
        <v>4000</v>
      </c>
      <c r="H598" s="120">
        <v>1997</v>
      </c>
      <c r="I598" s="120">
        <v>4000</v>
      </c>
      <c r="J598" s="120">
        <v>8000</v>
      </c>
      <c r="K598" s="120">
        <v>8000</v>
      </c>
    </row>
    <row r="599" spans="1:12" x14ac:dyDescent="0.25">
      <c r="A599" s="138">
        <v>355.02</v>
      </c>
      <c r="B599" s="116" t="s">
        <v>297</v>
      </c>
      <c r="C599" s="144">
        <v>0</v>
      </c>
      <c r="D599" s="145">
        <v>0</v>
      </c>
      <c r="E599" s="144">
        <v>0</v>
      </c>
      <c r="F599" s="145">
        <v>0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</row>
    <row r="600" spans="1:12" x14ac:dyDescent="0.25">
      <c r="A600" s="138">
        <v>355.03</v>
      </c>
      <c r="B600" s="116" t="s">
        <v>298</v>
      </c>
      <c r="C600" s="177">
        <v>10000</v>
      </c>
      <c r="D600" s="145">
        <v>597</v>
      </c>
      <c r="E600" s="144">
        <v>900</v>
      </c>
      <c r="F600" s="145">
        <v>0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</row>
    <row r="601" spans="1:12" x14ac:dyDescent="0.25">
      <c r="A601" s="141">
        <v>355.04</v>
      </c>
      <c r="B601" s="125" t="s">
        <v>21</v>
      </c>
      <c r="C601" s="144">
        <v>3500</v>
      </c>
      <c r="D601" s="145">
        <v>1919</v>
      </c>
      <c r="E601" s="144">
        <v>2878</v>
      </c>
      <c r="F601" s="145">
        <v>3700</v>
      </c>
      <c r="G601" s="129">
        <v>0</v>
      </c>
      <c r="H601" s="129">
        <v>0</v>
      </c>
      <c r="I601" s="129">
        <v>0</v>
      </c>
      <c r="J601" s="129">
        <v>0</v>
      </c>
      <c r="K601" s="129">
        <v>0</v>
      </c>
    </row>
    <row r="602" spans="1:12" ht="18.75" thickBot="1" x14ac:dyDescent="0.3">
      <c r="A602" s="184" t="s">
        <v>295</v>
      </c>
      <c r="B602" s="185"/>
      <c r="C602" s="149"/>
      <c r="D602" s="150"/>
      <c r="E602" s="149"/>
      <c r="F602" s="150">
        <f t="shared" ref="F602:K602" si="73">SUM(F598:F601)</f>
        <v>8400</v>
      </c>
      <c r="G602" s="113">
        <f t="shared" si="73"/>
        <v>4000</v>
      </c>
      <c r="H602" s="113">
        <f t="shared" si="73"/>
        <v>1997</v>
      </c>
      <c r="I602" s="113">
        <f t="shared" si="73"/>
        <v>4000</v>
      </c>
      <c r="J602" s="113">
        <f t="shared" si="73"/>
        <v>8000</v>
      </c>
      <c r="K602" s="113">
        <f t="shared" si="73"/>
        <v>8000</v>
      </c>
      <c r="L602" s="157"/>
    </row>
    <row r="603" spans="1:12" x14ac:dyDescent="0.25">
      <c r="A603" s="183">
        <v>356.01</v>
      </c>
      <c r="B603" s="108" t="s">
        <v>300</v>
      </c>
      <c r="C603" s="144">
        <v>0</v>
      </c>
      <c r="D603" s="145">
        <v>0</v>
      </c>
      <c r="E603" s="144">
        <v>0</v>
      </c>
      <c r="F603" s="145">
        <v>1000</v>
      </c>
      <c r="G603" s="113">
        <v>5000</v>
      </c>
      <c r="H603" s="113">
        <f>850+1959</f>
        <v>2809</v>
      </c>
      <c r="I603" s="113">
        <v>5000</v>
      </c>
      <c r="J603" s="113">
        <v>5000</v>
      </c>
      <c r="K603" s="113">
        <v>5000</v>
      </c>
      <c r="L603" s="157"/>
    </row>
    <row r="604" spans="1:12" x14ac:dyDescent="0.25">
      <c r="A604" s="138">
        <v>356.02</v>
      </c>
      <c r="B604" s="116" t="s">
        <v>0</v>
      </c>
      <c r="C604" s="144">
        <v>0</v>
      </c>
      <c r="D604" s="145">
        <v>0</v>
      </c>
      <c r="E604" s="145">
        <v>0</v>
      </c>
      <c r="F604" s="145">
        <v>1100</v>
      </c>
      <c r="G604" s="120">
        <v>3400</v>
      </c>
      <c r="H604" s="120">
        <v>1977</v>
      </c>
      <c r="I604" s="120">
        <v>3000</v>
      </c>
      <c r="J604" s="120">
        <v>3400</v>
      </c>
      <c r="K604" s="120">
        <v>3400</v>
      </c>
    </row>
    <row r="605" spans="1:12" x14ac:dyDescent="0.25">
      <c r="A605" s="141">
        <v>356.03</v>
      </c>
      <c r="B605" s="125" t="s">
        <v>301</v>
      </c>
      <c r="C605" s="144"/>
      <c r="D605" s="98"/>
      <c r="E605" s="98"/>
      <c r="F605" s="145">
        <v>0</v>
      </c>
      <c r="G605" s="129">
        <v>5</v>
      </c>
      <c r="H605" s="129">
        <v>-8</v>
      </c>
      <c r="I605" s="129">
        <v>10</v>
      </c>
      <c r="J605" s="129">
        <v>0</v>
      </c>
      <c r="K605" s="129">
        <v>0</v>
      </c>
    </row>
    <row r="606" spans="1:12" ht="18.75" thickBot="1" x14ac:dyDescent="0.3">
      <c r="A606" s="280" t="s">
        <v>299</v>
      </c>
      <c r="B606" s="185"/>
      <c r="C606" s="144"/>
      <c r="D606" s="98"/>
      <c r="E606" s="98"/>
      <c r="F606" s="145">
        <f t="shared" ref="F606:K606" si="74">SUM(F603:F605)</f>
        <v>2100</v>
      </c>
      <c r="G606" s="113">
        <f t="shared" si="74"/>
        <v>8405</v>
      </c>
      <c r="H606" s="113">
        <f t="shared" si="74"/>
        <v>4778</v>
      </c>
      <c r="I606" s="113">
        <f t="shared" si="74"/>
        <v>8010</v>
      </c>
      <c r="J606" s="113">
        <f t="shared" si="74"/>
        <v>8400</v>
      </c>
      <c r="K606" s="113">
        <f t="shared" si="74"/>
        <v>8400</v>
      </c>
    </row>
    <row r="607" spans="1:12" ht="18.75" thickBot="1" x14ac:dyDescent="0.3">
      <c r="A607" s="539" t="s">
        <v>64</v>
      </c>
      <c r="B607" s="540"/>
      <c r="C607" s="309">
        <f>SUM(C579:C604)</f>
        <v>3699165</v>
      </c>
      <c r="D607" s="239">
        <f>SUM(D579:D605)</f>
        <v>2574057</v>
      </c>
      <c r="E607" s="309">
        <f>SUM(E579:E605)</f>
        <v>3889785</v>
      </c>
      <c r="F607" s="239">
        <f t="shared" ref="F607:K607" si="75">SUM(F583+F590+F593+F597+F602+F606)</f>
        <v>4331636</v>
      </c>
      <c r="G607" s="351">
        <f t="shared" si="75"/>
        <v>4587405</v>
      </c>
      <c r="H607" s="351">
        <f t="shared" si="75"/>
        <v>3149085</v>
      </c>
      <c r="I607" s="351">
        <f t="shared" si="75"/>
        <v>4781250</v>
      </c>
      <c r="J607" s="351">
        <f t="shared" si="75"/>
        <v>7930232</v>
      </c>
      <c r="K607" s="351">
        <f t="shared" si="75"/>
        <v>7930232</v>
      </c>
    </row>
    <row r="608" spans="1:12" x14ac:dyDescent="0.25">
      <c r="A608" s="517" t="s">
        <v>15</v>
      </c>
      <c r="B608" s="518"/>
      <c r="C608" s="352"/>
      <c r="D608" s="352"/>
      <c r="E608" s="352"/>
      <c r="F608" s="353"/>
      <c r="G608" s="99"/>
      <c r="H608" s="100"/>
      <c r="I608" s="101" t="str">
        <f>+I2</f>
        <v xml:space="preserve"> Estimated</v>
      </c>
      <c r="J608" s="101" t="s">
        <v>1093</v>
      </c>
      <c r="K608" s="101" t="s">
        <v>1077</v>
      </c>
    </row>
    <row r="609" spans="1:11" x14ac:dyDescent="0.25">
      <c r="A609" s="354" t="s">
        <v>541</v>
      </c>
      <c r="B609" s="107"/>
      <c r="C609" s="330" t="s">
        <v>27</v>
      </c>
      <c r="D609" s="330" t="s">
        <v>30</v>
      </c>
      <c r="E609" s="330" t="s">
        <v>29</v>
      </c>
      <c r="F609" s="330" t="s">
        <v>405</v>
      </c>
      <c r="G609" s="105" t="str">
        <f>+G3</f>
        <v>Budget 2016-17</v>
      </c>
      <c r="H609" s="105" t="str">
        <f>+H3</f>
        <v>Actual 5/31/17</v>
      </c>
      <c r="I609" s="331">
        <f>+I3</f>
        <v>43008</v>
      </c>
      <c r="J609" s="105" t="str">
        <f>+J3</f>
        <v>Budget 2017-18</v>
      </c>
      <c r="K609" s="105" t="s">
        <v>1076</v>
      </c>
    </row>
    <row r="610" spans="1:11" x14ac:dyDescent="0.25">
      <c r="A610" s="449" t="s">
        <v>302</v>
      </c>
      <c r="B610" s="439" t="s">
        <v>5</v>
      </c>
      <c r="C610" s="178">
        <v>68700</v>
      </c>
      <c r="D610" s="156">
        <v>45996</v>
      </c>
      <c r="E610" s="156">
        <v>68994</v>
      </c>
      <c r="F610" s="156">
        <v>49438</v>
      </c>
      <c r="G610" s="112">
        <f>72525+200</f>
        <v>72725</v>
      </c>
      <c r="H610" s="112">
        <v>50616</v>
      </c>
      <c r="I610" s="112">
        <f>+H610+(5600*4)</f>
        <v>73016</v>
      </c>
      <c r="J610" s="112">
        <f>SUM('Personnel Sched-Util Admin'!K15)*1.02</f>
        <v>76460.832000000009</v>
      </c>
      <c r="K610" s="112">
        <v>79073</v>
      </c>
    </row>
    <row r="611" spans="1:11" x14ac:dyDescent="0.25">
      <c r="A611" s="158">
        <v>510.03</v>
      </c>
      <c r="B611" s="159" t="s">
        <v>50</v>
      </c>
      <c r="C611" s="178">
        <v>5324</v>
      </c>
      <c r="D611" s="156">
        <v>3892</v>
      </c>
      <c r="E611" s="156">
        <v>5189</v>
      </c>
      <c r="F611" s="156">
        <v>12000</v>
      </c>
      <c r="G611" s="121">
        <v>17500</v>
      </c>
      <c r="H611" s="121">
        <v>13882</v>
      </c>
      <c r="I611" s="121">
        <f>22701+1500-1</f>
        <v>24200</v>
      </c>
      <c r="J611" s="121">
        <f>SUM('Budget Req-Util Admin'!E12)</f>
        <v>19500</v>
      </c>
      <c r="K611" s="121">
        <v>19500</v>
      </c>
    </row>
    <row r="612" spans="1:11" x14ac:dyDescent="0.25">
      <c r="A612" s="158">
        <v>510.05</v>
      </c>
      <c r="B612" s="159" t="s">
        <v>194</v>
      </c>
      <c r="C612" s="178">
        <v>2000</v>
      </c>
      <c r="D612" s="156">
        <v>814</v>
      </c>
      <c r="E612" s="156">
        <v>1085</v>
      </c>
      <c r="F612" s="156">
        <v>12998</v>
      </c>
      <c r="G612" s="121">
        <v>15318</v>
      </c>
      <c r="H612" s="121">
        <v>7929</v>
      </c>
      <c r="I612" s="121">
        <v>15000</v>
      </c>
      <c r="J612" s="121">
        <f>SUM('Budget Req-Util Admin'!E19)</f>
        <v>16974.325000000001</v>
      </c>
      <c r="K612" s="121">
        <v>17021</v>
      </c>
    </row>
    <row r="613" spans="1:11" x14ac:dyDescent="0.25">
      <c r="A613" s="158">
        <v>510.06</v>
      </c>
      <c r="B613" s="159" t="s">
        <v>19</v>
      </c>
      <c r="C613" s="178">
        <v>8000</v>
      </c>
      <c r="D613" s="156">
        <v>6222</v>
      </c>
      <c r="E613" s="156">
        <v>8295</v>
      </c>
      <c r="F613" s="156">
        <v>3782.01</v>
      </c>
      <c r="G613" s="121">
        <v>5548</v>
      </c>
      <c r="H613" s="121">
        <v>3957</v>
      </c>
      <c r="I613" s="121">
        <f>+I610*0.08</f>
        <v>5841.28</v>
      </c>
      <c r="J613" s="121">
        <f>SUM('Budget Req-Util Admin'!E21)</f>
        <v>5734.5624000000007</v>
      </c>
      <c r="K613" s="121">
        <v>6049</v>
      </c>
    </row>
    <row r="614" spans="1:11" x14ac:dyDescent="0.25">
      <c r="A614" s="158">
        <v>510.07</v>
      </c>
      <c r="B614" s="159" t="s">
        <v>158</v>
      </c>
      <c r="C614" s="178">
        <v>390000</v>
      </c>
      <c r="D614" s="156">
        <v>262405</v>
      </c>
      <c r="E614" s="282">
        <v>393607</v>
      </c>
      <c r="F614" s="156">
        <v>2101.12</v>
      </c>
      <c r="G614" s="121">
        <v>3692</v>
      </c>
      <c r="H614" s="121">
        <v>1973</v>
      </c>
      <c r="I614" s="121">
        <f>+I610*0.0502</f>
        <v>3665.4032000000002</v>
      </c>
      <c r="J614" s="121">
        <f>SUM('Budget Req-Util Admin'!E23)</f>
        <v>3763.0723200000002</v>
      </c>
      <c r="K614" s="121">
        <v>4025</v>
      </c>
    </row>
    <row r="615" spans="1:11" x14ac:dyDescent="0.25">
      <c r="A615" s="158">
        <v>510.08</v>
      </c>
      <c r="B615" s="159" t="s">
        <v>326</v>
      </c>
      <c r="C615" s="178"/>
      <c r="D615" s="156"/>
      <c r="E615" s="156"/>
      <c r="F615" s="156">
        <v>129</v>
      </c>
      <c r="G615" s="121">
        <v>192</v>
      </c>
      <c r="H615" s="121">
        <v>6666</v>
      </c>
      <c r="I615" s="121">
        <v>7000</v>
      </c>
      <c r="J615" s="121">
        <f>SUM('Budget Req-Util Admin'!E25)</f>
        <v>190.82</v>
      </c>
      <c r="K615" s="121">
        <v>213</v>
      </c>
    </row>
    <row r="616" spans="1:11" x14ac:dyDescent="0.25">
      <c r="A616" s="158">
        <v>510.09</v>
      </c>
      <c r="B616" s="159" t="s">
        <v>1043</v>
      </c>
      <c r="C616" s="178"/>
      <c r="D616" s="156"/>
      <c r="E616" s="156"/>
      <c r="F616" s="156"/>
      <c r="G616" s="121">
        <v>496</v>
      </c>
      <c r="H616" s="121">
        <v>0</v>
      </c>
      <c r="I616" s="121">
        <v>496</v>
      </c>
      <c r="J616" s="121">
        <f>SUM('Budget Req-Util Admin'!E27)+J610*0.01</f>
        <v>1364.6083200000003</v>
      </c>
      <c r="K616" s="121">
        <v>791</v>
      </c>
    </row>
    <row r="617" spans="1:11" x14ac:dyDescent="0.25">
      <c r="A617" s="158">
        <v>510.11</v>
      </c>
      <c r="B617" s="159" t="s">
        <v>236</v>
      </c>
      <c r="C617" s="178">
        <v>12000</v>
      </c>
      <c r="D617" s="156">
        <v>2387</v>
      </c>
      <c r="E617" s="156">
        <v>3581</v>
      </c>
      <c r="F617" s="156">
        <v>3125</v>
      </c>
      <c r="G617" s="121">
        <v>0</v>
      </c>
      <c r="H617" s="121">
        <v>218</v>
      </c>
      <c r="I617" s="121">
        <v>218</v>
      </c>
      <c r="J617" s="121">
        <v>0</v>
      </c>
      <c r="K617" s="121">
        <v>0</v>
      </c>
    </row>
    <row r="618" spans="1:11" x14ac:dyDescent="0.25">
      <c r="A618" s="284">
        <v>510.12</v>
      </c>
      <c r="B618" s="285" t="s">
        <v>536</v>
      </c>
      <c r="C618" s="178"/>
      <c r="D618" s="156"/>
      <c r="E618" s="156"/>
      <c r="F618" s="156">
        <v>0</v>
      </c>
      <c r="G618" s="147">
        <v>3300</v>
      </c>
      <c r="H618" s="147">
        <v>0</v>
      </c>
      <c r="I618" s="147">
        <v>3300</v>
      </c>
      <c r="J618" s="147">
        <f>SUM('Budget Req-Util Admin'!E29)</f>
        <v>3150</v>
      </c>
      <c r="K618" s="147">
        <v>3150</v>
      </c>
    </row>
    <row r="619" spans="1:11" ht="18.75" thickBot="1" x14ac:dyDescent="0.3">
      <c r="A619" s="287" t="s">
        <v>210</v>
      </c>
      <c r="B619" s="288"/>
      <c r="C619" s="277"/>
      <c r="D619" s="278"/>
      <c r="E619" s="278"/>
      <c r="F619" s="278">
        <f t="shared" ref="F619:K619" si="76">SUM(F610:F618)</f>
        <v>83573.12999999999</v>
      </c>
      <c r="G619" s="182">
        <f t="shared" si="76"/>
        <v>118771</v>
      </c>
      <c r="H619" s="182">
        <f t="shared" si="76"/>
        <v>85241</v>
      </c>
      <c r="I619" s="182">
        <f t="shared" si="76"/>
        <v>132736.6832</v>
      </c>
      <c r="J619" s="182">
        <f t="shared" si="76"/>
        <v>127138.22004000001</v>
      </c>
      <c r="K619" s="182">
        <f t="shared" si="76"/>
        <v>129822</v>
      </c>
    </row>
    <row r="620" spans="1:11" x14ac:dyDescent="0.25">
      <c r="A620" s="158">
        <v>520.01</v>
      </c>
      <c r="B620" s="159" t="s">
        <v>161</v>
      </c>
      <c r="C620" s="178">
        <v>10000</v>
      </c>
      <c r="D620" s="156">
        <v>4359</v>
      </c>
      <c r="E620" s="156">
        <v>6539</v>
      </c>
      <c r="F620" s="156">
        <v>1200</v>
      </c>
      <c r="G620" s="121">
        <v>2200</v>
      </c>
      <c r="H620" s="121">
        <v>2048</v>
      </c>
      <c r="I620" s="121">
        <v>2200</v>
      </c>
      <c r="J620" s="121">
        <v>2200</v>
      </c>
      <c r="K620" s="121">
        <v>2200</v>
      </c>
    </row>
    <row r="621" spans="1:11" x14ac:dyDescent="0.25">
      <c r="A621" s="158">
        <v>520.02</v>
      </c>
      <c r="B621" s="159" t="s">
        <v>196</v>
      </c>
      <c r="C621" s="178">
        <v>11000</v>
      </c>
      <c r="D621" s="156">
        <v>9184</v>
      </c>
      <c r="E621" s="156">
        <v>11000</v>
      </c>
      <c r="F621" s="156">
        <v>7000</v>
      </c>
      <c r="G621" s="120">
        <v>11000</v>
      </c>
      <c r="H621" s="121">
        <v>6341</v>
      </c>
      <c r="I621" s="121">
        <v>11000</v>
      </c>
      <c r="J621" s="120">
        <v>10000</v>
      </c>
      <c r="K621" s="120">
        <v>10000</v>
      </c>
    </row>
    <row r="622" spans="1:11" x14ac:dyDescent="0.25">
      <c r="A622" s="158">
        <v>520.03</v>
      </c>
      <c r="B622" s="159" t="s">
        <v>542</v>
      </c>
      <c r="C622" s="178"/>
      <c r="D622" s="156"/>
      <c r="E622" s="156"/>
      <c r="F622" s="156"/>
      <c r="G622" s="120">
        <v>350</v>
      </c>
      <c r="H622" s="121">
        <v>204</v>
      </c>
      <c r="I622" s="121">
        <v>400</v>
      </c>
      <c r="J622" s="120">
        <v>500</v>
      </c>
      <c r="K622" s="120">
        <v>500</v>
      </c>
    </row>
    <row r="623" spans="1:11" x14ac:dyDescent="0.25">
      <c r="A623" s="158">
        <v>520.04</v>
      </c>
      <c r="B623" s="159" t="s">
        <v>543</v>
      </c>
      <c r="C623" s="178"/>
      <c r="D623" s="156"/>
      <c r="E623" s="156"/>
      <c r="F623" s="156"/>
      <c r="G623" s="120">
        <v>0</v>
      </c>
      <c r="H623" s="121">
        <v>0</v>
      </c>
      <c r="I623" s="121">
        <v>0</v>
      </c>
      <c r="J623" s="120">
        <v>0</v>
      </c>
      <c r="K623" s="120">
        <v>0</v>
      </c>
    </row>
    <row r="624" spans="1:11" x14ac:dyDescent="0.25">
      <c r="A624" s="158">
        <v>520.07000000000005</v>
      </c>
      <c r="B624" s="159" t="s">
        <v>544</v>
      </c>
      <c r="C624" s="178"/>
      <c r="D624" s="156"/>
      <c r="E624" s="156"/>
      <c r="F624" s="156"/>
      <c r="G624" s="120">
        <v>100</v>
      </c>
      <c r="H624" s="121">
        <v>13</v>
      </c>
      <c r="I624" s="121">
        <v>100</v>
      </c>
      <c r="J624" s="120">
        <v>5000</v>
      </c>
      <c r="K624" s="120">
        <v>5000</v>
      </c>
    </row>
    <row r="625" spans="1:12" x14ac:dyDescent="0.25">
      <c r="A625" s="158">
        <v>520.08000000000004</v>
      </c>
      <c r="B625" s="159" t="s">
        <v>545</v>
      </c>
      <c r="C625" s="178"/>
      <c r="D625" s="156"/>
      <c r="E625" s="156"/>
      <c r="F625" s="156"/>
      <c r="G625" s="120">
        <v>100</v>
      </c>
      <c r="H625" s="121">
        <v>16</v>
      </c>
      <c r="I625" s="121">
        <v>100</v>
      </c>
      <c r="J625" s="120">
        <v>500</v>
      </c>
      <c r="K625" s="120">
        <v>500</v>
      </c>
      <c r="L625" s="157"/>
    </row>
    <row r="626" spans="1:12" x14ac:dyDescent="0.25">
      <c r="A626" s="158">
        <v>520.09</v>
      </c>
      <c r="B626" s="159" t="s">
        <v>212</v>
      </c>
      <c r="C626" s="178"/>
      <c r="D626" s="156"/>
      <c r="E626" s="156"/>
      <c r="F626" s="156"/>
      <c r="G626" s="120">
        <v>50</v>
      </c>
      <c r="H626" s="121">
        <v>0</v>
      </c>
      <c r="I626" s="121">
        <v>50</v>
      </c>
      <c r="J626" s="120">
        <v>500</v>
      </c>
      <c r="K626" s="120">
        <v>500</v>
      </c>
      <c r="L626" s="157"/>
    </row>
    <row r="627" spans="1:12" x14ac:dyDescent="0.25">
      <c r="A627" s="141">
        <v>520.1</v>
      </c>
      <c r="B627" s="125" t="s">
        <v>216</v>
      </c>
      <c r="C627" s="144">
        <v>50000</v>
      </c>
      <c r="D627" s="145">
        <v>71521</v>
      </c>
      <c r="E627" s="145">
        <v>71521</v>
      </c>
      <c r="F627" s="145">
        <v>2500</v>
      </c>
      <c r="G627" s="129">
        <v>1500</v>
      </c>
      <c r="H627" s="129">
        <v>161</v>
      </c>
      <c r="I627" s="129">
        <v>1000</v>
      </c>
      <c r="J627" s="129">
        <v>1500</v>
      </c>
      <c r="K627" s="129">
        <v>1500</v>
      </c>
      <c r="L627" s="157"/>
    </row>
    <row r="628" spans="1:12" ht="18.75" thickBot="1" x14ac:dyDescent="0.3">
      <c r="A628" s="142" t="s">
        <v>166</v>
      </c>
      <c r="B628" s="148"/>
      <c r="C628" s="149"/>
      <c r="D628" s="150"/>
      <c r="E628" s="150"/>
      <c r="F628" s="150">
        <f t="shared" ref="F628:K628" si="77">SUM(F620:F627)</f>
        <v>10700</v>
      </c>
      <c r="G628" s="136">
        <f t="shared" si="77"/>
        <v>15300</v>
      </c>
      <c r="H628" s="136">
        <f t="shared" si="77"/>
        <v>8783</v>
      </c>
      <c r="I628" s="136">
        <f t="shared" si="77"/>
        <v>14850</v>
      </c>
      <c r="J628" s="136">
        <f t="shared" si="77"/>
        <v>20200</v>
      </c>
      <c r="K628" s="136">
        <f t="shared" si="77"/>
        <v>20200</v>
      </c>
    </row>
    <row r="629" spans="1:12" x14ac:dyDescent="0.25">
      <c r="A629" s="138">
        <v>530.01</v>
      </c>
      <c r="B629" s="116" t="s">
        <v>201</v>
      </c>
      <c r="C629" s="177">
        <v>5500</v>
      </c>
      <c r="D629" s="145">
        <v>4273</v>
      </c>
      <c r="E629" s="145">
        <v>5697</v>
      </c>
      <c r="F629" s="145">
        <v>4100</v>
      </c>
      <c r="G629" s="120">
        <v>4400</v>
      </c>
      <c r="H629" s="120">
        <v>3595</v>
      </c>
      <c r="I629" s="120">
        <v>5500</v>
      </c>
      <c r="J629" s="120">
        <v>5000</v>
      </c>
      <c r="K629" s="120">
        <v>5000</v>
      </c>
    </row>
    <row r="630" spans="1:12" x14ac:dyDescent="0.25">
      <c r="A630" s="138">
        <v>530.02</v>
      </c>
      <c r="B630" s="116" t="s">
        <v>546</v>
      </c>
      <c r="C630" s="177"/>
      <c r="D630" s="145"/>
      <c r="E630" s="145"/>
      <c r="F630" s="145"/>
      <c r="G630" s="120">
        <v>1520</v>
      </c>
      <c r="H630" s="120">
        <v>1001</v>
      </c>
      <c r="I630" s="120">
        <v>1520</v>
      </c>
      <c r="J630" s="120">
        <v>1520</v>
      </c>
      <c r="K630" s="120">
        <v>1520</v>
      </c>
    </row>
    <row r="631" spans="1:12" x14ac:dyDescent="0.25">
      <c r="A631" s="138">
        <v>530.03</v>
      </c>
      <c r="B631" s="116" t="s">
        <v>605</v>
      </c>
      <c r="C631" s="144">
        <v>75000</v>
      </c>
      <c r="D631" s="156">
        <v>72614</v>
      </c>
      <c r="E631" s="144">
        <v>96818</v>
      </c>
      <c r="F631" s="156">
        <v>100</v>
      </c>
      <c r="G631" s="120">
        <v>24650</v>
      </c>
      <c r="H631" s="120">
        <v>18023</v>
      </c>
      <c r="I631" s="120">
        <v>20000</v>
      </c>
      <c r="J631" s="120">
        <v>24650</v>
      </c>
      <c r="K631" s="120">
        <v>24650</v>
      </c>
    </row>
    <row r="632" spans="1:12" x14ac:dyDescent="0.25">
      <c r="A632" s="138">
        <v>530.04999999999995</v>
      </c>
      <c r="B632" s="116" t="s">
        <v>20</v>
      </c>
      <c r="C632" s="144"/>
      <c r="D632" s="156"/>
      <c r="E632" s="144"/>
      <c r="F632" s="156"/>
      <c r="G632" s="120">
        <v>0</v>
      </c>
      <c r="H632" s="120">
        <v>27</v>
      </c>
      <c r="I632" s="120">
        <v>100</v>
      </c>
      <c r="J632" s="120">
        <v>100</v>
      </c>
      <c r="K632" s="120">
        <v>100</v>
      </c>
    </row>
    <row r="633" spans="1:12" x14ac:dyDescent="0.25">
      <c r="A633" s="138">
        <v>530.05999999999995</v>
      </c>
      <c r="B633" s="116" t="s">
        <v>547</v>
      </c>
      <c r="C633" s="144"/>
      <c r="D633" s="156"/>
      <c r="E633" s="144"/>
      <c r="F633" s="156"/>
      <c r="G633" s="120">
        <v>300</v>
      </c>
      <c r="H633" s="120">
        <v>0</v>
      </c>
      <c r="I633" s="120">
        <v>300</v>
      </c>
      <c r="J633" s="120">
        <v>300</v>
      </c>
      <c r="K633" s="120">
        <v>300</v>
      </c>
    </row>
    <row r="634" spans="1:12" x14ac:dyDescent="0.25">
      <c r="A634" s="138">
        <v>530.07000000000005</v>
      </c>
      <c r="B634" s="116" t="s">
        <v>548</v>
      </c>
      <c r="C634" s="144"/>
      <c r="D634" s="156"/>
      <c r="E634" s="144"/>
      <c r="F634" s="156"/>
      <c r="G634" s="120">
        <v>0</v>
      </c>
      <c r="H634" s="120">
        <v>0</v>
      </c>
      <c r="I634" s="120">
        <v>0</v>
      </c>
      <c r="J634" s="120">
        <v>7500</v>
      </c>
      <c r="K634" s="120">
        <v>7500</v>
      </c>
    </row>
    <row r="635" spans="1:12" x14ac:dyDescent="0.25">
      <c r="A635" s="138">
        <v>530.11</v>
      </c>
      <c r="B635" s="116" t="s">
        <v>2</v>
      </c>
      <c r="C635" s="144">
        <v>193060</v>
      </c>
      <c r="D635" s="145">
        <v>144794</v>
      </c>
      <c r="E635" s="145">
        <v>193060</v>
      </c>
      <c r="F635" s="145">
        <v>82000</v>
      </c>
      <c r="G635" s="120">
        <v>7500</v>
      </c>
      <c r="H635" s="120">
        <v>5189</v>
      </c>
      <c r="I635" s="120">
        <v>9000</v>
      </c>
      <c r="J635" s="120">
        <v>9000</v>
      </c>
      <c r="K635" s="120">
        <v>9000</v>
      </c>
    </row>
    <row r="636" spans="1:12" x14ac:dyDescent="0.25">
      <c r="A636" s="158">
        <v>530.12</v>
      </c>
      <c r="B636" s="159" t="s">
        <v>171</v>
      </c>
      <c r="C636" s="178">
        <v>10000</v>
      </c>
      <c r="D636" s="156">
        <v>21000</v>
      </c>
      <c r="E636" s="156">
        <v>21000</v>
      </c>
      <c r="F636" s="156">
        <v>3800</v>
      </c>
      <c r="G636" s="121">
        <v>3800</v>
      </c>
      <c r="H636" s="121">
        <v>0</v>
      </c>
      <c r="I636" s="121">
        <v>3800</v>
      </c>
      <c r="J636" s="121">
        <v>5000</v>
      </c>
      <c r="K636" s="121">
        <v>5000</v>
      </c>
    </row>
    <row r="637" spans="1:12" x14ac:dyDescent="0.25">
      <c r="A637" s="284">
        <v>530.13</v>
      </c>
      <c r="B637" s="285" t="s">
        <v>303</v>
      </c>
      <c r="C637" s="178">
        <v>1500</v>
      </c>
      <c r="D637" s="156">
        <v>2677</v>
      </c>
      <c r="E637" s="156">
        <v>3500</v>
      </c>
      <c r="F637" s="156">
        <v>5500</v>
      </c>
      <c r="G637" s="147">
        <v>7275</v>
      </c>
      <c r="H637" s="147">
        <v>7892</v>
      </c>
      <c r="I637" s="147">
        <v>8000</v>
      </c>
      <c r="J637" s="147">
        <v>8000</v>
      </c>
      <c r="K637" s="147">
        <v>16000</v>
      </c>
    </row>
    <row r="638" spans="1:12" ht="18.75" thickBot="1" x14ac:dyDescent="0.3">
      <c r="A638" s="287" t="s">
        <v>167</v>
      </c>
      <c r="B638" s="288"/>
      <c r="C638" s="277"/>
      <c r="D638" s="277"/>
      <c r="E638" s="278"/>
      <c r="F638" s="278">
        <f t="shared" ref="F638:K638" si="78">SUM(F629:F637)</f>
        <v>95500</v>
      </c>
      <c r="G638" s="182">
        <f t="shared" si="78"/>
        <v>49445</v>
      </c>
      <c r="H638" s="182">
        <f t="shared" si="78"/>
        <v>35727</v>
      </c>
      <c r="I638" s="182">
        <f t="shared" si="78"/>
        <v>48220</v>
      </c>
      <c r="J638" s="182">
        <f t="shared" si="78"/>
        <v>61070</v>
      </c>
      <c r="K638" s="182">
        <f t="shared" si="78"/>
        <v>69070</v>
      </c>
    </row>
    <row r="639" spans="1:12" x14ac:dyDescent="0.25">
      <c r="A639" s="284">
        <v>540.01</v>
      </c>
      <c r="B639" s="285" t="s">
        <v>182</v>
      </c>
      <c r="C639" s="178">
        <v>2000</v>
      </c>
      <c r="D639" s="156">
        <v>0</v>
      </c>
      <c r="E639" s="156">
        <v>0</v>
      </c>
      <c r="F639" s="156">
        <v>0</v>
      </c>
      <c r="G639" s="147">
        <v>500</v>
      </c>
      <c r="H639" s="147">
        <v>7399</v>
      </c>
      <c r="I639" s="147">
        <v>7500</v>
      </c>
      <c r="J639" s="147">
        <v>5000</v>
      </c>
      <c r="K639" s="147">
        <v>5000</v>
      </c>
    </row>
    <row r="640" spans="1:12" ht="18.75" thickBot="1" x14ac:dyDescent="0.3">
      <c r="A640" s="287" t="s">
        <v>254</v>
      </c>
      <c r="B640" s="288"/>
      <c r="C640" s="277"/>
      <c r="D640" s="278"/>
      <c r="E640" s="278"/>
      <c r="F640" s="278">
        <f>SUM(F639:F639)</f>
        <v>0</v>
      </c>
      <c r="G640" s="182">
        <f>SUM(G639:G639)</f>
        <v>500</v>
      </c>
      <c r="H640" s="182">
        <f>SUM(H639:H639)</f>
        <v>7399</v>
      </c>
      <c r="I640" s="182">
        <f>SUM(I639:I639)</f>
        <v>7500</v>
      </c>
      <c r="J640" s="182">
        <f>SUM(J639:J639)</f>
        <v>5000</v>
      </c>
      <c r="K640" s="182">
        <f>SUM(K639)</f>
        <v>5000</v>
      </c>
    </row>
    <row r="641" spans="1:12" x14ac:dyDescent="0.25">
      <c r="A641" s="158">
        <v>550.01</v>
      </c>
      <c r="B641" s="159" t="s">
        <v>203</v>
      </c>
      <c r="C641" s="178"/>
      <c r="D641" s="156"/>
      <c r="E641" s="156"/>
      <c r="F641" s="156"/>
      <c r="G641" s="121">
        <v>200</v>
      </c>
      <c r="H641" s="121">
        <v>168</v>
      </c>
      <c r="I641" s="121">
        <v>200</v>
      </c>
      <c r="J641" s="121">
        <v>0</v>
      </c>
      <c r="K641" s="121">
        <v>0</v>
      </c>
    </row>
    <row r="642" spans="1:12" x14ac:dyDescent="0.25">
      <c r="A642" s="158">
        <v>550.05999999999995</v>
      </c>
      <c r="B642" s="159" t="s">
        <v>635</v>
      </c>
      <c r="C642" s="178"/>
      <c r="D642" s="156"/>
      <c r="E642" s="156"/>
      <c r="F642" s="156"/>
      <c r="G642" s="121">
        <v>1000</v>
      </c>
      <c r="H642" s="121">
        <v>0</v>
      </c>
      <c r="I642" s="121">
        <v>700</v>
      </c>
      <c r="J642" s="121">
        <v>1000</v>
      </c>
      <c r="K642" s="121">
        <v>1000</v>
      </c>
    </row>
    <row r="643" spans="1:12" x14ac:dyDescent="0.25">
      <c r="A643" s="284">
        <v>550.09</v>
      </c>
      <c r="B643" s="285" t="s">
        <v>216</v>
      </c>
      <c r="C643" s="178"/>
      <c r="D643" s="156"/>
      <c r="E643" s="156"/>
      <c r="F643" s="156"/>
      <c r="G643" s="147"/>
      <c r="H643" s="147"/>
      <c r="I643" s="147"/>
      <c r="J643" s="147">
        <v>0</v>
      </c>
      <c r="K643" s="147">
        <v>0</v>
      </c>
    </row>
    <row r="644" spans="1:12" ht="18.75" thickBot="1" x14ac:dyDescent="0.3">
      <c r="A644" s="287" t="s">
        <v>306</v>
      </c>
      <c r="B644" s="288"/>
      <c r="C644" s="277"/>
      <c r="D644" s="278"/>
      <c r="E644" s="278"/>
      <c r="F644" s="278" t="e">
        <f>SUM(#REF!)</f>
        <v>#REF!</v>
      </c>
      <c r="G644" s="182">
        <f>SUM(G641:G643)</f>
        <v>1200</v>
      </c>
      <c r="H644" s="182">
        <f>SUM(H641:H643)</f>
        <v>168</v>
      </c>
      <c r="I644" s="182">
        <f>SUM(I641:I643)</f>
        <v>900</v>
      </c>
      <c r="J644" s="182">
        <f>SUM(J641:J643)</f>
        <v>1000</v>
      </c>
      <c r="K644" s="182">
        <f>SUM(K641:K643)</f>
        <v>1000</v>
      </c>
    </row>
    <row r="645" spans="1:12" x14ac:dyDescent="0.25">
      <c r="A645" s="158">
        <v>560.02</v>
      </c>
      <c r="B645" s="159" t="s">
        <v>179</v>
      </c>
      <c r="C645" s="178"/>
      <c r="D645" s="156"/>
      <c r="E645" s="156"/>
      <c r="F645" s="156">
        <v>0</v>
      </c>
      <c r="G645" s="121">
        <v>0</v>
      </c>
      <c r="H645" s="121">
        <v>171</v>
      </c>
      <c r="I645" s="121">
        <v>200</v>
      </c>
      <c r="J645" s="121">
        <v>0</v>
      </c>
      <c r="K645" s="121">
        <v>0</v>
      </c>
    </row>
    <row r="646" spans="1:12" x14ac:dyDescent="0.25">
      <c r="A646" s="158">
        <v>560.09</v>
      </c>
      <c r="B646" s="159" t="s">
        <v>496</v>
      </c>
      <c r="C646" s="178"/>
      <c r="D646" s="156"/>
      <c r="E646" s="156"/>
      <c r="F646" s="156"/>
      <c r="G646" s="121">
        <v>0</v>
      </c>
      <c r="H646" s="121">
        <v>0</v>
      </c>
      <c r="I646" s="121">
        <v>0</v>
      </c>
      <c r="J646" s="121">
        <v>0</v>
      </c>
      <c r="K646" s="121">
        <v>140</v>
      </c>
    </row>
    <row r="647" spans="1:12" x14ac:dyDescent="0.25">
      <c r="A647" s="284">
        <v>560.1</v>
      </c>
      <c r="B647" s="285" t="s">
        <v>180</v>
      </c>
      <c r="C647" s="178">
        <v>542920</v>
      </c>
      <c r="D647" s="156">
        <v>407189</v>
      </c>
      <c r="E647" s="156">
        <v>542920</v>
      </c>
      <c r="F647" s="156">
        <v>300</v>
      </c>
      <c r="G647" s="147">
        <v>400</v>
      </c>
      <c r="H647" s="147">
        <v>0</v>
      </c>
      <c r="I647" s="147">
        <v>400</v>
      </c>
      <c r="J647" s="269">
        <v>400</v>
      </c>
      <c r="K647" s="147">
        <v>400</v>
      </c>
    </row>
    <row r="648" spans="1:12" ht="18.75" thickBot="1" x14ac:dyDescent="0.3">
      <c r="A648" s="287" t="s">
        <v>178</v>
      </c>
      <c r="B648" s="288"/>
      <c r="C648" s="277"/>
      <c r="D648" s="278"/>
      <c r="E648" s="278"/>
      <c r="F648" s="278">
        <f t="shared" ref="F648:K648" si="79">SUM(F645:F647)</f>
        <v>300</v>
      </c>
      <c r="G648" s="182">
        <f t="shared" si="79"/>
        <v>400</v>
      </c>
      <c r="H648" s="182">
        <f t="shared" si="79"/>
        <v>171</v>
      </c>
      <c r="I648" s="361">
        <f t="shared" si="79"/>
        <v>600</v>
      </c>
      <c r="J648" s="361">
        <f t="shared" si="79"/>
        <v>400</v>
      </c>
      <c r="K648" s="182">
        <f t="shared" si="79"/>
        <v>540</v>
      </c>
    </row>
    <row r="649" spans="1:12" x14ac:dyDescent="0.25">
      <c r="A649" s="284">
        <v>580.01</v>
      </c>
      <c r="B649" s="285" t="s">
        <v>182</v>
      </c>
      <c r="C649" s="178"/>
      <c r="D649" s="156"/>
      <c r="E649" s="156"/>
      <c r="F649" s="156"/>
      <c r="G649" s="147">
        <v>0</v>
      </c>
      <c r="H649" s="147">
        <v>0</v>
      </c>
      <c r="I649" s="147">
        <v>0</v>
      </c>
      <c r="J649" s="147">
        <v>0</v>
      </c>
      <c r="K649" s="147">
        <v>0</v>
      </c>
      <c r="L649" s="157"/>
    </row>
    <row r="650" spans="1:12" ht="18.75" thickBot="1" x14ac:dyDescent="0.3">
      <c r="A650" s="287" t="s">
        <v>307</v>
      </c>
      <c r="B650" s="288"/>
      <c r="C650" s="451"/>
      <c r="D650" s="278"/>
      <c r="E650" s="277"/>
      <c r="F650" s="278" t="e">
        <f>SUM(#REF!)</f>
        <v>#REF!</v>
      </c>
      <c r="G650" s="182">
        <f>SUM(G649:G649)</f>
        <v>0</v>
      </c>
      <c r="H650" s="182">
        <f>SUM(H649:H649)</f>
        <v>0</v>
      </c>
      <c r="I650" s="182">
        <f>SUM(I649:I649)</f>
        <v>0</v>
      </c>
      <c r="J650" s="182">
        <f>SUM(J649:J649)</f>
        <v>0</v>
      </c>
      <c r="K650" s="182">
        <f>SUM(K649)</f>
        <v>0</v>
      </c>
      <c r="L650" s="157"/>
    </row>
    <row r="651" spans="1:12" x14ac:dyDescent="0.25">
      <c r="A651" s="158">
        <v>590.01</v>
      </c>
      <c r="B651" s="159" t="s">
        <v>203</v>
      </c>
      <c r="C651" s="498"/>
      <c r="D651" s="153"/>
      <c r="E651" s="152"/>
      <c r="F651" s="153"/>
      <c r="G651" s="121">
        <v>1000</v>
      </c>
      <c r="H651" s="121">
        <v>37</v>
      </c>
      <c r="I651" s="121">
        <v>500</v>
      </c>
      <c r="J651" s="121">
        <v>500</v>
      </c>
      <c r="K651" s="121">
        <v>500</v>
      </c>
    </row>
    <row r="652" spans="1:12" x14ac:dyDescent="0.25">
      <c r="A652" s="158">
        <v>590.02</v>
      </c>
      <c r="B652" s="159" t="s">
        <v>309</v>
      </c>
      <c r="C652" s="178">
        <v>0</v>
      </c>
      <c r="D652" s="152">
        <v>0</v>
      </c>
      <c r="E652" s="178">
        <v>0</v>
      </c>
      <c r="F652" s="282">
        <v>0</v>
      </c>
      <c r="G652" s="121">
        <v>2400</v>
      </c>
      <c r="H652" s="121">
        <v>1323</v>
      </c>
      <c r="I652" s="121">
        <v>2400</v>
      </c>
      <c r="J652" s="121">
        <v>4000</v>
      </c>
      <c r="K652" s="121">
        <v>4000</v>
      </c>
    </row>
    <row r="653" spans="1:12" ht="18" customHeight="1" x14ac:dyDescent="0.25">
      <c r="A653" s="284">
        <v>590.05999999999995</v>
      </c>
      <c r="B653" s="285" t="s">
        <v>227</v>
      </c>
      <c r="C653" s="178"/>
      <c r="D653" s="152"/>
      <c r="E653" s="178"/>
      <c r="F653" s="282"/>
      <c r="G653" s="147">
        <v>0</v>
      </c>
      <c r="H653" s="147">
        <v>240</v>
      </c>
      <c r="I653" s="147">
        <v>250</v>
      </c>
      <c r="J653" s="147">
        <v>0</v>
      </c>
      <c r="K653" s="147">
        <v>0</v>
      </c>
    </row>
    <row r="654" spans="1:12" ht="18.75" thickBot="1" x14ac:dyDescent="0.3">
      <c r="A654" s="287" t="s">
        <v>262</v>
      </c>
      <c r="B654" s="288"/>
      <c r="C654" s="277"/>
      <c r="D654" s="277"/>
      <c r="E654" s="277"/>
      <c r="F654" s="499">
        <f>SUM(F652)</f>
        <v>0</v>
      </c>
      <c r="G654" s="361">
        <f>SUM(G651:G653)</f>
        <v>3400</v>
      </c>
      <c r="H654" s="361">
        <f t="shared" ref="H654:J654" si="80">SUM(H651:H653)</f>
        <v>1600</v>
      </c>
      <c r="I654" s="361">
        <f t="shared" si="80"/>
        <v>3150</v>
      </c>
      <c r="J654" s="361">
        <f t="shared" si="80"/>
        <v>4500</v>
      </c>
      <c r="K654" s="182">
        <f>SUM(K651:K653)</f>
        <v>4500</v>
      </c>
    </row>
    <row r="655" spans="1:12" x14ac:dyDescent="0.25">
      <c r="A655" s="284">
        <v>610.09</v>
      </c>
      <c r="B655" s="285" t="s">
        <v>899</v>
      </c>
      <c r="C655" s="178"/>
      <c r="D655" s="152"/>
      <c r="E655" s="178"/>
      <c r="F655" s="282"/>
      <c r="G655" s="269">
        <v>150000</v>
      </c>
      <c r="H655" s="269">
        <v>0</v>
      </c>
      <c r="I655" s="403">
        <v>150000</v>
      </c>
      <c r="J655" s="269">
        <v>0</v>
      </c>
      <c r="K655" s="147">
        <v>0</v>
      </c>
    </row>
    <row r="656" spans="1:12" ht="18.75" thickBot="1" x14ac:dyDescent="0.3">
      <c r="A656" s="287" t="s">
        <v>900</v>
      </c>
      <c r="B656" s="288"/>
      <c r="C656" s="277"/>
      <c r="D656" s="277"/>
      <c r="E656" s="277"/>
      <c r="F656" s="499"/>
      <c r="G656" s="361">
        <f>SUM(G655)</f>
        <v>150000</v>
      </c>
      <c r="H656" s="361">
        <f t="shared" ref="H656:J656" si="81">SUM(H655)</f>
        <v>0</v>
      </c>
      <c r="I656" s="361">
        <f t="shared" si="81"/>
        <v>150000</v>
      </c>
      <c r="J656" s="361">
        <f t="shared" si="81"/>
        <v>0</v>
      </c>
      <c r="K656" s="182">
        <f>SUM(K655)</f>
        <v>0</v>
      </c>
    </row>
    <row r="657" spans="1:12" x14ac:dyDescent="0.25">
      <c r="A657" s="158">
        <v>610.11</v>
      </c>
      <c r="B657" s="159" t="s">
        <v>1045</v>
      </c>
      <c r="C657" s="178"/>
      <c r="D657" s="152"/>
      <c r="E657" s="178"/>
      <c r="F657" s="282"/>
      <c r="G657" s="121">
        <v>0</v>
      </c>
      <c r="H657" s="121">
        <v>0</v>
      </c>
      <c r="I657" s="268">
        <v>0</v>
      </c>
      <c r="J657" s="121">
        <v>700000</v>
      </c>
      <c r="K657" s="121">
        <v>0</v>
      </c>
    </row>
    <row r="658" spans="1:12" ht="18" customHeight="1" x14ac:dyDescent="0.25">
      <c r="A658" s="158">
        <v>620.01</v>
      </c>
      <c r="B658" s="159" t="s">
        <v>186</v>
      </c>
      <c r="C658" s="178">
        <v>4000</v>
      </c>
      <c r="D658" s="495">
        <v>0</v>
      </c>
      <c r="E658" s="495">
        <v>0</v>
      </c>
      <c r="F658" s="156">
        <v>794634</v>
      </c>
      <c r="G658" s="121">
        <v>385194</v>
      </c>
      <c r="H658" s="121">
        <v>288895</v>
      </c>
      <c r="I658" s="121">
        <v>385194</v>
      </c>
      <c r="J658" s="121">
        <f>SUM('Budget Req-Util Admin'!E75)</f>
        <v>1172407</v>
      </c>
      <c r="K658" s="121">
        <v>1172407</v>
      </c>
    </row>
    <row r="659" spans="1:12" x14ac:dyDescent="0.25">
      <c r="A659" s="158">
        <v>620.03</v>
      </c>
      <c r="B659" s="159" t="s">
        <v>310</v>
      </c>
      <c r="C659" s="178">
        <v>10000</v>
      </c>
      <c r="D659" s="495">
        <v>1975</v>
      </c>
      <c r="E659" s="495">
        <v>2500</v>
      </c>
      <c r="F659" s="156">
        <v>0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</row>
    <row r="660" spans="1:12" x14ac:dyDescent="0.25">
      <c r="A660" s="158">
        <v>620.04</v>
      </c>
      <c r="B660" s="159" t="s">
        <v>311</v>
      </c>
      <c r="C660" s="178"/>
      <c r="D660" s="495"/>
      <c r="E660" s="495"/>
      <c r="F660" s="156">
        <v>175000</v>
      </c>
      <c r="G660" s="121"/>
      <c r="H660" s="121"/>
      <c r="I660" s="121"/>
      <c r="J660" s="121">
        <v>0</v>
      </c>
      <c r="K660" s="121">
        <v>0</v>
      </c>
    </row>
    <row r="661" spans="1:12" x14ac:dyDescent="0.25">
      <c r="A661" s="158">
        <v>620.04999999999995</v>
      </c>
      <c r="B661" s="159" t="s">
        <v>312</v>
      </c>
      <c r="C661" s="178"/>
      <c r="D661" s="495"/>
      <c r="E661" s="495"/>
      <c r="F661" s="156">
        <v>193161</v>
      </c>
      <c r="G661" s="121">
        <v>120000</v>
      </c>
      <c r="H661" s="121">
        <v>90000</v>
      </c>
      <c r="I661" s="121">
        <v>120000</v>
      </c>
      <c r="J661" s="121">
        <f>SUM('Budget Req-Util Admin'!E77)</f>
        <v>300000</v>
      </c>
      <c r="K661" s="121">
        <v>287500</v>
      </c>
    </row>
    <row r="662" spans="1:12" x14ac:dyDescent="0.25">
      <c r="A662" s="158">
        <v>620.07000000000005</v>
      </c>
      <c r="B662" s="159" t="s">
        <v>313</v>
      </c>
      <c r="C662" s="178"/>
      <c r="D662" s="495"/>
      <c r="E662" s="495"/>
      <c r="F662" s="156">
        <v>249996</v>
      </c>
      <c r="G662" s="121">
        <v>249996</v>
      </c>
      <c r="H662" s="121">
        <v>187497</v>
      </c>
      <c r="I662" s="121">
        <f>+H662+(20833*3)+4</f>
        <v>250000</v>
      </c>
      <c r="J662" s="121">
        <f>SUM('Budget Req-Util Admin'!E79)</f>
        <v>500000</v>
      </c>
      <c r="K662" s="121">
        <v>300000</v>
      </c>
    </row>
    <row r="663" spans="1:12" x14ac:dyDescent="0.25">
      <c r="A663" s="284">
        <v>620.08000000000004</v>
      </c>
      <c r="B663" s="285" t="s">
        <v>314</v>
      </c>
      <c r="C663" s="178"/>
      <c r="D663" s="495"/>
      <c r="E663" s="495"/>
      <c r="F663" s="156">
        <v>16200</v>
      </c>
      <c r="G663" s="147">
        <v>16200</v>
      </c>
      <c r="H663" s="147">
        <v>12150</v>
      </c>
      <c r="I663" s="147">
        <v>16200</v>
      </c>
      <c r="J663" s="147">
        <v>25000</v>
      </c>
      <c r="K663" s="121">
        <v>25000</v>
      </c>
      <c r="L663" s="157"/>
    </row>
    <row r="664" spans="1:12" ht="18.75" thickBot="1" x14ac:dyDescent="0.3">
      <c r="A664" s="291" t="s">
        <v>319</v>
      </c>
      <c r="B664" s="292"/>
      <c r="C664" s="178"/>
      <c r="D664" s="495"/>
      <c r="E664" s="495"/>
      <c r="F664" s="156">
        <f>SUM(F658:F663)</f>
        <v>1428991</v>
      </c>
      <c r="G664" s="112">
        <f>SUM(G657:G663)</f>
        <v>771390</v>
      </c>
      <c r="H664" s="112">
        <f t="shared" ref="H664:J664" si="82">SUM(H657:H663)</f>
        <v>578542</v>
      </c>
      <c r="I664" s="112">
        <f t="shared" si="82"/>
        <v>771394</v>
      </c>
      <c r="J664" s="500">
        <f t="shared" si="82"/>
        <v>2697407</v>
      </c>
      <c r="K664" s="112">
        <f>SUM(K657:K663)</f>
        <v>1784907</v>
      </c>
      <c r="L664" s="190"/>
    </row>
    <row r="665" spans="1:12" ht="18.75" thickBot="1" x14ac:dyDescent="0.3">
      <c r="A665" s="501" t="s">
        <v>1082</v>
      </c>
      <c r="B665" s="502"/>
      <c r="C665" s="445">
        <f>SUM(C610:C659)</f>
        <v>1401004</v>
      </c>
      <c r="D665" s="446">
        <f>SUM(D610:D659)</f>
        <v>1061302</v>
      </c>
      <c r="E665" s="446">
        <f>SUM(E610:E659)</f>
        <v>1435306</v>
      </c>
      <c r="F665" s="446" t="e">
        <f>SUM(F619+F628+F638+F640+F644+F648+F650+F654+F664)</f>
        <v>#REF!</v>
      </c>
      <c r="G665" s="447">
        <f>SUM(G619+G628+G638+G640+G644+G648+G650+G654+G664)+G656</f>
        <v>1110406</v>
      </c>
      <c r="H665" s="447">
        <f>SUM(H619+H628+H638+H640+H644+H648+H650+H654+H664)+H656</f>
        <v>717631</v>
      </c>
      <c r="I665" s="447">
        <f>SUM(I619+I628+I638+I640+I644+I648+I650+I654+I664)+I656</f>
        <v>1129350.6831999999</v>
      </c>
      <c r="J665" s="447">
        <f>SUM(J619+J628+J638+J640+J644+J648+J650+J654+J664)+J656</f>
        <v>2916715.22004</v>
      </c>
      <c r="K665" s="447">
        <f>SUM(K619+K628+K638+K640+K644+K648+K650+K654+K664)+K656</f>
        <v>2015039</v>
      </c>
      <c r="L665" s="190"/>
    </row>
    <row r="666" spans="1:12" x14ac:dyDescent="0.25">
      <c r="A666" s="503"/>
      <c r="B666" s="281"/>
      <c r="C666" s="460"/>
      <c r="D666" s="504"/>
      <c r="E666" s="504"/>
      <c r="F666" s="156"/>
      <c r="G666" s="505"/>
      <c r="H666" s="310"/>
      <c r="I666" s="310"/>
      <c r="J666" s="310"/>
      <c r="K666" s="281"/>
      <c r="L666" s="190"/>
    </row>
    <row r="667" spans="1:12" x14ac:dyDescent="0.25">
      <c r="A667" s="347"/>
      <c r="B667" s="355"/>
      <c r="C667" s="328"/>
      <c r="D667" s="328"/>
      <c r="E667" s="328"/>
      <c r="F667" s="348"/>
      <c r="G667" s="99"/>
      <c r="H667" s="100"/>
      <c r="I667" s="101" t="str">
        <f>+I2</f>
        <v xml:space="preserve"> Estimated</v>
      </c>
      <c r="J667" s="101" t="s">
        <v>1093</v>
      </c>
      <c r="K667" s="101" t="s">
        <v>1075</v>
      </c>
      <c r="L667" s="190"/>
    </row>
    <row r="668" spans="1:12" x14ac:dyDescent="0.25">
      <c r="A668" s="349" t="s">
        <v>315</v>
      </c>
      <c r="B668" s="350"/>
      <c r="C668" s="330" t="s">
        <v>32</v>
      </c>
      <c r="D668" s="330" t="s">
        <v>30</v>
      </c>
      <c r="E668" s="330" t="s">
        <v>29</v>
      </c>
      <c r="F668" s="330" t="s">
        <v>405</v>
      </c>
      <c r="G668" s="105" t="str">
        <f>+G3</f>
        <v>Budget 2016-17</v>
      </c>
      <c r="H668" s="105" t="str">
        <f>+H3</f>
        <v>Actual 5/31/17</v>
      </c>
      <c r="I668" s="106">
        <f>+I3</f>
        <v>43008</v>
      </c>
      <c r="J668" s="105" t="str">
        <f>+J3</f>
        <v>Budget 2017-18</v>
      </c>
      <c r="K668" s="105" t="s">
        <v>1076</v>
      </c>
      <c r="L668" s="180"/>
    </row>
    <row r="669" spans="1:12" x14ac:dyDescent="0.25">
      <c r="A669" s="356" t="s">
        <v>554</v>
      </c>
      <c r="B669" s="357" t="s">
        <v>5</v>
      </c>
      <c r="C669" s="281"/>
      <c r="D669" s="281"/>
      <c r="E669" s="281"/>
      <c r="F669" s="281"/>
      <c r="G669" s="358">
        <v>129365</v>
      </c>
      <c r="H669" s="358">
        <v>100897</v>
      </c>
      <c r="I669" s="306">
        <f>+H669+(12000*4)</f>
        <v>148897</v>
      </c>
      <c r="J669" s="112">
        <f>SUM('Personnel Sched-WWTP'!K16)*1.02</f>
        <v>166147.39199999999</v>
      </c>
      <c r="K669" s="112">
        <v>166147</v>
      </c>
    </row>
    <row r="670" spans="1:12" x14ac:dyDescent="0.25">
      <c r="A670" s="186">
        <v>510.03</v>
      </c>
      <c r="B670" s="116" t="s">
        <v>155</v>
      </c>
      <c r="C670" s="178">
        <v>435295</v>
      </c>
      <c r="D670" s="145">
        <v>277400</v>
      </c>
      <c r="E670" s="144">
        <v>416100</v>
      </c>
      <c r="F670" s="156">
        <v>5500</v>
      </c>
      <c r="G670" s="120">
        <v>5500</v>
      </c>
      <c r="H670" s="268">
        <v>7113</v>
      </c>
      <c r="I670" s="202">
        <f>+H670+2000</f>
        <v>9113</v>
      </c>
      <c r="J670" s="120">
        <f>SUM('Budget Req-WWTP'!E11)</f>
        <v>6000</v>
      </c>
      <c r="K670" s="120">
        <v>6000</v>
      </c>
    </row>
    <row r="671" spans="1:12" x14ac:dyDescent="0.25">
      <c r="A671" s="138">
        <v>510.05</v>
      </c>
      <c r="B671" s="116" t="s">
        <v>194</v>
      </c>
      <c r="C671" s="178"/>
      <c r="D671" s="145"/>
      <c r="E671" s="144"/>
      <c r="F671" s="156"/>
      <c r="G671" s="253">
        <v>22991</v>
      </c>
      <c r="H671" s="253">
        <v>12996</v>
      </c>
      <c r="I671" s="202">
        <v>19500</v>
      </c>
      <c r="J671" s="120">
        <f>SUM('Budget Req-WWTP'!E18)</f>
        <v>25475.19</v>
      </c>
      <c r="K671" s="120">
        <v>25475</v>
      </c>
    </row>
    <row r="672" spans="1:12" x14ac:dyDescent="0.25">
      <c r="A672" s="158">
        <v>510.06</v>
      </c>
      <c r="B672" s="159" t="s">
        <v>19</v>
      </c>
      <c r="C672" s="178"/>
      <c r="D672" s="156"/>
      <c r="E672" s="178"/>
      <c r="F672" s="156"/>
      <c r="G672" s="121">
        <v>9896</v>
      </c>
      <c r="H672" s="268">
        <v>7607</v>
      </c>
      <c r="I672" s="202">
        <f>+I669*0.08</f>
        <v>11911.76</v>
      </c>
      <c r="J672" s="121">
        <f>SUM('Budget Req-WWTP'!E20)</f>
        <v>12461.054399999997</v>
      </c>
      <c r="K672" s="121">
        <v>12461</v>
      </c>
    </row>
    <row r="673" spans="1:11" x14ac:dyDescent="0.25">
      <c r="A673" s="158">
        <v>510.07</v>
      </c>
      <c r="B673" s="159" t="s">
        <v>158</v>
      </c>
      <c r="C673" s="178"/>
      <c r="D673" s="156"/>
      <c r="E673" s="178"/>
      <c r="F673" s="156"/>
      <c r="G673" s="121">
        <v>6585</v>
      </c>
      <c r="H673" s="268">
        <v>4204</v>
      </c>
      <c r="I673" s="202">
        <f>+I669*0.0502</f>
        <v>7474.6293999999998</v>
      </c>
      <c r="J673" s="121">
        <f>SUM('Budget Req-WWTP'!E22)</f>
        <v>7199.7203199999994</v>
      </c>
      <c r="K673" s="121">
        <v>7200</v>
      </c>
    </row>
    <row r="674" spans="1:11" x14ac:dyDescent="0.25">
      <c r="A674" s="158">
        <v>510.08</v>
      </c>
      <c r="B674" s="159" t="s">
        <v>326</v>
      </c>
      <c r="C674" s="178"/>
      <c r="D674" s="156"/>
      <c r="E674" s="178"/>
      <c r="F674" s="156"/>
      <c r="G674" s="121">
        <v>2715</v>
      </c>
      <c r="H674" s="268">
        <v>1201</v>
      </c>
      <c r="I674" s="202">
        <v>2500</v>
      </c>
      <c r="J674" s="121">
        <f>SUM('Budget Req-WWTP'!E24)</f>
        <v>2629.8649999999998</v>
      </c>
      <c r="K674" s="121">
        <v>2630</v>
      </c>
    </row>
    <row r="675" spans="1:11" x14ac:dyDescent="0.25">
      <c r="A675" s="158">
        <v>510.09</v>
      </c>
      <c r="B675" s="159" t="s">
        <v>690</v>
      </c>
      <c r="C675" s="178"/>
      <c r="D675" s="156"/>
      <c r="E675" s="178"/>
      <c r="F675" s="156"/>
      <c r="G675" s="121">
        <v>3000</v>
      </c>
      <c r="H675" s="268">
        <v>0</v>
      </c>
      <c r="I675" s="202">
        <v>3000</v>
      </c>
      <c r="J675" s="121">
        <f>SUM('Budget Req-WWTP'!E26)+(J669*0.01)</f>
        <v>2738.4739199999999</v>
      </c>
      <c r="K675" s="121">
        <f>SUM('Budget Req-WWTP'!F26)+(K669*0.01)</f>
        <v>1661.47</v>
      </c>
    </row>
    <row r="676" spans="1:11" x14ac:dyDescent="0.25">
      <c r="A676" s="158">
        <v>510.11</v>
      </c>
      <c r="B676" s="159" t="s">
        <v>236</v>
      </c>
      <c r="C676" s="178"/>
      <c r="D676" s="156"/>
      <c r="E676" s="178"/>
      <c r="F676" s="156"/>
      <c r="G676" s="121">
        <v>0</v>
      </c>
      <c r="H676" s="268">
        <v>300</v>
      </c>
      <c r="I676" s="202">
        <v>300</v>
      </c>
      <c r="J676" s="121">
        <v>0</v>
      </c>
      <c r="K676" s="121">
        <v>0</v>
      </c>
    </row>
    <row r="677" spans="1:11" x14ac:dyDescent="0.25">
      <c r="A677" s="284">
        <v>510.12</v>
      </c>
      <c r="B677" s="285" t="s">
        <v>536</v>
      </c>
      <c r="C677" s="178"/>
      <c r="D677" s="156"/>
      <c r="E677" s="178"/>
      <c r="F677" s="156"/>
      <c r="G677" s="147">
        <v>1350</v>
      </c>
      <c r="H677" s="269">
        <v>0</v>
      </c>
      <c r="I677" s="286">
        <v>1350</v>
      </c>
      <c r="J677" s="147">
        <v>1650</v>
      </c>
      <c r="K677" s="147">
        <v>1800</v>
      </c>
    </row>
    <row r="678" spans="1:11" ht="18.75" thickBot="1" x14ac:dyDescent="0.3">
      <c r="A678" s="506" t="s">
        <v>210</v>
      </c>
      <c r="B678" s="288"/>
      <c r="C678" s="277"/>
      <c r="D678" s="278"/>
      <c r="E678" s="277"/>
      <c r="F678" s="278">
        <f>SUM(F670)</f>
        <v>5500</v>
      </c>
      <c r="G678" s="182">
        <f>SUM(G669:G677)</f>
        <v>181402</v>
      </c>
      <c r="H678" s="361">
        <f>SUM(H669:H677)</f>
        <v>134318</v>
      </c>
      <c r="I678" s="182">
        <f>SUM(I669:I677)</f>
        <v>204046.38940000001</v>
      </c>
      <c r="J678" s="182">
        <f>SUM(J669:J677)</f>
        <v>224301.69563999996</v>
      </c>
      <c r="K678" s="182">
        <f>SUM(K669:K677)</f>
        <v>223374.47</v>
      </c>
    </row>
    <row r="679" spans="1:11" x14ac:dyDescent="0.25">
      <c r="A679" s="158">
        <v>520.01</v>
      </c>
      <c r="B679" s="159" t="s">
        <v>161</v>
      </c>
      <c r="C679" s="178"/>
      <c r="D679" s="156"/>
      <c r="E679" s="178"/>
      <c r="F679" s="156"/>
      <c r="G679" s="121">
        <v>1200</v>
      </c>
      <c r="H679" s="121">
        <v>1331</v>
      </c>
      <c r="I679" s="121">
        <v>1350</v>
      </c>
      <c r="J679" s="121">
        <v>1300</v>
      </c>
      <c r="K679" s="121">
        <v>1300</v>
      </c>
    </row>
    <row r="680" spans="1:11" x14ac:dyDescent="0.25">
      <c r="A680" s="158">
        <v>520.02</v>
      </c>
      <c r="B680" s="159" t="s">
        <v>196</v>
      </c>
      <c r="C680" s="178"/>
      <c r="D680" s="156"/>
      <c r="E680" s="178"/>
      <c r="F680" s="156"/>
      <c r="G680" s="121">
        <v>50</v>
      </c>
      <c r="H680" s="121">
        <v>0</v>
      </c>
      <c r="I680" s="121">
        <v>50</v>
      </c>
      <c r="J680" s="121">
        <v>0</v>
      </c>
      <c r="K680" s="121">
        <v>0</v>
      </c>
    </row>
    <row r="681" spans="1:11" x14ac:dyDescent="0.25">
      <c r="A681" s="158">
        <v>520.03</v>
      </c>
      <c r="B681" s="159" t="s">
        <v>542</v>
      </c>
      <c r="C681" s="178"/>
      <c r="D681" s="156"/>
      <c r="E681" s="178"/>
      <c r="F681" s="156"/>
      <c r="G681" s="121">
        <v>0</v>
      </c>
      <c r="H681" s="121">
        <v>53</v>
      </c>
      <c r="I681" s="121">
        <v>120</v>
      </c>
      <c r="J681" s="121">
        <v>120</v>
      </c>
      <c r="K681" s="121">
        <v>120</v>
      </c>
    </row>
    <row r="682" spans="1:11" x14ac:dyDescent="0.25">
      <c r="A682" s="158">
        <v>520.04</v>
      </c>
      <c r="B682" s="159" t="s">
        <v>543</v>
      </c>
      <c r="C682" s="178"/>
      <c r="D682" s="156"/>
      <c r="E682" s="178"/>
      <c r="F682" s="156"/>
      <c r="G682" s="121">
        <v>4300</v>
      </c>
      <c r="H682" s="121">
        <v>2497</v>
      </c>
      <c r="I682" s="121">
        <v>4700</v>
      </c>
      <c r="J682" s="121">
        <f>SUM('Budget Req-WWTP'!E32)</f>
        <v>4500</v>
      </c>
      <c r="K682" s="121">
        <v>4500</v>
      </c>
    </row>
    <row r="683" spans="1:11" x14ac:dyDescent="0.25">
      <c r="A683" s="158">
        <v>520.05999999999995</v>
      </c>
      <c r="B683" s="159" t="s">
        <v>231</v>
      </c>
      <c r="C683" s="178"/>
      <c r="D683" s="156"/>
      <c r="E683" s="178"/>
      <c r="F683" s="156"/>
      <c r="G683" s="121">
        <v>2400</v>
      </c>
      <c r="H683" s="121">
        <v>1895</v>
      </c>
      <c r="I683" s="121">
        <v>3000</v>
      </c>
      <c r="J683" s="121">
        <v>3000</v>
      </c>
      <c r="K683" s="121">
        <v>3000</v>
      </c>
    </row>
    <row r="684" spans="1:11" x14ac:dyDescent="0.25">
      <c r="A684" s="158">
        <v>520.07000000000005</v>
      </c>
      <c r="B684" s="159" t="s">
        <v>544</v>
      </c>
      <c r="C684" s="178"/>
      <c r="D684" s="145"/>
      <c r="E684" s="144"/>
      <c r="F684" s="156"/>
      <c r="G684" s="120">
        <v>800</v>
      </c>
      <c r="H684" s="120">
        <v>312</v>
      </c>
      <c r="I684" s="121">
        <v>800</v>
      </c>
      <c r="J684" s="120">
        <v>2500</v>
      </c>
      <c r="K684" s="120">
        <v>2500</v>
      </c>
    </row>
    <row r="685" spans="1:11" x14ac:dyDescent="0.25">
      <c r="A685" s="158">
        <v>520.08000000000004</v>
      </c>
      <c r="B685" s="159" t="s">
        <v>545</v>
      </c>
      <c r="C685" s="178"/>
      <c r="D685" s="145"/>
      <c r="E685" s="144"/>
      <c r="F685" s="156"/>
      <c r="G685" s="120">
        <v>1200</v>
      </c>
      <c r="H685" s="120">
        <v>1296</v>
      </c>
      <c r="I685" s="121">
        <v>1500</v>
      </c>
      <c r="J685" s="120">
        <v>5000</v>
      </c>
      <c r="K685" s="120">
        <v>5000</v>
      </c>
    </row>
    <row r="686" spans="1:11" x14ac:dyDescent="0.25">
      <c r="A686" s="158">
        <v>520.09</v>
      </c>
      <c r="B686" s="159" t="s">
        <v>212</v>
      </c>
      <c r="C686" s="178"/>
      <c r="D686" s="145"/>
      <c r="E686" s="144"/>
      <c r="F686" s="156"/>
      <c r="G686" s="120">
        <v>45000</v>
      </c>
      <c r="H686" s="120">
        <v>27640</v>
      </c>
      <c r="I686" s="121">
        <v>42000</v>
      </c>
      <c r="J686" s="121">
        <v>40000</v>
      </c>
      <c r="K686" s="121">
        <v>40000</v>
      </c>
    </row>
    <row r="687" spans="1:11" x14ac:dyDescent="0.25">
      <c r="A687" s="138">
        <v>520.1</v>
      </c>
      <c r="B687" s="116" t="s">
        <v>216</v>
      </c>
      <c r="C687" s="178"/>
      <c r="D687" s="145"/>
      <c r="E687" s="144"/>
      <c r="F687" s="156"/>
      <c r="G687" s="120">
        <v>1500</v>
      </c>
      <c r="H687" s="120">
        <v>2932</v>
      </c>
      <c r="I687" s="121">
        <v>3000</v>
      </c>
      <c r="J687" s="120">
        <v>3000</v>
      </c>
      <c r="K687" s="120">
        <v>3000</v>
      </c>
    </row>
    <row r="688" spans="1:11" x14ac:dyDescent="0.25">
      <c r="A688" s="141">
        <v>520.12</v>
      </c>
      <c r="B688" s="125" t="s">
        <v>237</v>
      </c>
      <c r="C688" s="178"/>
      <c r="D688" s="145"/>
      <c r="E688" s="144"/>
      <c r="F688" s="156"/>
      <c r="G688" s="129">
        <v>800</v>
      </c>
      <c r="H688" s="129">
        <v>719</v>
      </c>
      <c r="I688" s="147">
        <v>850</v>
      </c>
      <c r="J688" s="129">
        <v>1200</v>
      </c>
      <c r="K688" s="129">
        <v>1200</v>
      </c>
    </row>
    <row r="689" spans="1:11" ht="18.75" thickBot="1" x14ac:dyDescent="0.3">
      <c r="A689" s="142" t="s">
        <v>166</v>
      </c>
      <c r="B689" s="148"/>
      <c r="C689" s="277"/>
      <c r="D689" s="150"/>
      <c r="E689" s="149"/>
      <c r="F689" s="278"/>
      <c r="G689" s="136">
        <f>SUM(G679:G688)</f>
        <v>57250</v>
      </c>
      <c r="H689" s="136">
        <f>SUM(H679:H688)</f>
        <v>38675</v>
      </c>
      <c r="I689" s="136">
        <f>SUM(I679:I688)</f>
        <v>57370</v>
      </c>
      <c r="J689" s="136">
        <f>SUM(J679:J688)</f>
        <v>60620</v>
      </c>
      <c r="K689" s="136">
        <f>SUM(K679:K688)</f>
        <v>60620</v>
      </c>
    </row>
    <row r="690" spans="1:11" x14ac:dyDescent="0.25">
      <c r="A690" s="138">
        <v>530.01</v>
      </c>
      <c r="B690" s="116" t="s">
        <v>201</v>
      </c>
      <c r="C690" s="178"/>
      <c r="D690" s="145"/>
      <c r="E690" s="144"/>
      <c r="F690" s="156"/>
      <c r="G690" s="120">
        <v>3400</v>
      </c>
      <c r="H690" s="120">
        <v>2895</v>
      </c>
      <c r="I690" s="121">
        <v>4800</v>
      </c>
      <c r="J690" s="120">
        <v>5000</v>
      </c>
      <c r="K690" s="120">
        <v>5000</v>
      </c>
    </row>
    <row r="691" spans="1:11" x14ac:dyDescent="0.25">
      <c r="A691" s="138">
        <v>530.02</v>
      </c>
      <c r="B691" s="116" t="s">
        <v>546</v>
      </c>
      <c r="C691" s="178"/>
      <c r="D691" s="145"/>
      <c r="E691" s="144"/>
      <c r="F691" s="156"/>
      <c r="G691" s="120">
        <v>130000</v>
      </c>
      <c r="H691" s="120">
        <v>105794</v>
      </c>
      <c r="I691" s="121">
        <v>145000</v>
      </c>
      <c r="J691" s="120">
        <f>SUM('Budget Req-WWTP'!E47)</f>
        <v>150000</v>
      </c>
      <c r="K691" s="120">
        <v>150000</v>
      </c>
    </row>
    <row r="692" spans="1:11" x14ac:dyDescent="0.25">
      <c r="A692" s="138">
        <v>530.03</v>
      </c>
      <c r="B692" s="116" t="s">
        <v>605</v>
      </c>
      <c r="C692" s="178"/>
      <c r="D692" s="145"/>
      <c r="E692" s="144"/>
      <c r="F692" s="156"/>
      <c r="G692" s="120">
        <v>0</v>
      </c>
      <c r="H692" s="120">
        <v>38</v>
      </c>
      <c r="I692" s="121">
        <v>100</v>
      </c>
      <c r="J692" s="120">
        <v>0</v>
      </c>
      <c r="K692" s="120">
        <v>0</v>
      </c>
    </row>
    <row r="693" spans="1:11" x14ac:dyDescent="0.25">
      <c r="A693" s="138">
        <v>530.04</v>
      </c>
      <c r="B693" s="116" t="s">
        <v>169</v>
      </c>
      <c r="C693" s="178"/>
      <c r="D693" s="145"/>
      <c r="E693" s="144"/>
      <c r="F693" s="156"/>
      <c r="G693" s="120">
        <v>35000</v>
      </c>
      <c r="H693" s="120">
        <v>26130</v>
      </c>
      <c r="I693" s="121">
        <v>35000</v>
      </c>
      <c r="J693" s="120">
        <f>SUM('Budget Req-WWTP'!E49)</f>
        <v>45000</v>
      </c>
      <c r="K693" s="120">
        <v>45000</v>
      </c>
    </row>
    <row r="694" spans="1:11" x14ac:dyDescent="0.25">
      <c r="A694" s="138">
        <v>530.04999999999995</v>
      </c>
      <c r="B694" s="116" t="s">
        <v>20</v>
      </c>
      <c r="C694" s="178"/>
      <c r="D694" s="145"/>
      <c r="E694" s="144"/>
      <c r="F694" s="156"/>
      <c r="G694" s="120">
        <v>100</v>
      </c>
      <c r="H694" s="120">
        <v>0</v>
      </c>
      <c r="I694" s="121">
        <v>100</v>
      </c>
      <c r="J694" s="120">
        <v>100</v>
      </c>
      <c r="K694" s="120">
        <v>100</v>
      </c>
    </row>
    <row r="695" spans="1:11" x14ac:dyDescent="0.25">
      <c r="A695" s="138">
        <v>530.05999999999995</v>
      </c>
      <c r="B695" s="116" t="s">
        <v>547</v>
      </c>
      <c r="C695" s="178"/>
      <c r="D695" s="145"/>
      <c r="E695" s="144"/>
      <c r="F695" s="156"/>
      <c r="G695" s="120">
        <v>400</v>
      </c>
      <c r="H695" s="120">
        <v>422</v>
      </c>
      <c r="I695" s="121">
        <v>450</v>
      </c>
      <c r="J695" s="120">
        <v>1000</v>
      </c>
      <c r="K695" s="120">
        <v>1000</v>
      </c>
    </row>
    <row r="696" spans="1:11" x14ac:dyDescent="0.25">
      <c r="A696" s="158">
        <v>530.07000000000005</v>
      </c>
      <c r="B696" s="159" t="s">
        <v>316</v>
      </c>
      <c r="C696" s="144">
        <v>8000</v>
      </c>
      <c r="D696" s="145">
        <v>2387</v>
      </c>
      <c r="E696" s="144">
        <v>3585</v>
      </c>
      <c r="F696" s="156">
        <v>14000</v>
      </c>
      <c r="G696" s="120">
        <v>0</v>
      </c>
      <c r="H696" s="120">
        <v>7150</v>
      </c>
      <c r="I696" s="120">
        <v>7150</v>
      </c>
      <c r="J696" s="120">
        <f>SUM('Budget Req-WWTP'!E51)</f>
        <v>7000</v>
      </c>
      <c r="K696" s="120">
        <v>7000</v>
      </c>
    </row>
    <row r="697" spans="1:11" x14ac:dyDescent="0.25">
      <c r="A697" s="138">
        <v>530.11</v>
      </c>
      <c r="B697" s="116" t="s">
        <v>2</v>
      </c>
      <c r="C697" s="144">
        <v>37000</v>
      </c>
      <c r="D697" s="145">
        <v>43023</v>
      </c>
      <c r="E697" s="144">
        <v>43023</v>
      </c>
      <c r="F697" s="145">
        <v>205000</v>
      </c>
      <c r="G697" s="120">
        <v>160000</v>
      </c>
      <c r="H697" s="120">
        <v>100552</v>
      </c>
      <c r="I697" s="120">
        <f>112863+36800</f>
        <v>149663</v>
      </c>
      <c r="J697" s="120">
        <f>SUM('Budget Req-WWTP'!E55)</f>
        <v>220000</v>
      </c>
      <c r="K697" s="120">
        <v>220000</v>
      </c>
    </row>
    <row r="698" spans="1:11" x14ac:dyDescent="0.25">
      <c r="A698" s="138">
        <v>530.12</v>
      </c>
      <c r="B698" s="116" t="s">
        <v>555</v>
      </c>
      <c r="C698" s="144"/>
      <c r="D698" s="145"/>
      <c r="E698" s="144"/>
      <c r="F698" s="145"/>
      <c r="G698" s="120">
        <v>0</v>
      </c>
      <c r="H698" s="120">
        <v>0</v>
      </c>
      <c r="I698" s="120">
        <v>0</v>
      </c>
      <c r="J698" s="120">
        <v>0</v>
      </c>
      <c r="K698" s="120">
        <v>0</v>
      </c>
    </row>
    <row r="699" spans="1:11" x14ac:dyDescent="0.25">
      <c r="A699" s="138">
        <v>530.13</v>
      </c>
      <c r="B699" s="116" t="s">
        <v>303</v>
      </c>
      <c r="C699" s="144"/>
      <c r="D699" s="145"/>
      <c r="E699" s="144"/>
      <c r="F699" s="145"/>
      <c r="G699" s="120">
        <v>0</v>
      </c>
      <c r="H699" s="120">
        <v>260</v>
      </c>
      <c r="I699" s="120">
        <v>300</v>
      </c>
      <c r="J699" s="120">
        <v>300</v>
      </c>
      <c r="K699" s="120">
        <v>300</v>
      </c>
    </row>
    <row r="700" spans="1:11" x14ac:dyDescent="0.25">
      <c r="A700" s="138">
        <v>530.16999999999996</v>
      </c>
      <c r="B700" s="116" t="s">
        <v>901</v>
      </c>
      <c r="C700" s="144"/>
      <c r="D700" s="145"/>
      <c r="E700" s="144"/>
      <c r="F700" s="145"/>
      <c r="G700" s="120">
        <v>0</v>
      </c>
      <c r="H700" s="120">
        <v>5367</v>
      </c>
      <c r="I700" s="120">
        <v>5400</v>
      </c>
      <c r="J700" s="120">
        <v>5400</v>
      </c>
      <c r="K700" s="120">
        <v>5400</v>
      </c>
    </row>
    <row r="701" spans="1:11" x14ac:dyDescent="0.25">
      <c r="A701" s="141">
        <v>530.20000000000005</v>
      </c>
      <c r="B701" s="125" t="s">
        <v>304</v>
      </c>
      <c r="C701" s="144">
        <v>250000</v>
      </c>
      <c r="D701" s="156">
        <v>160132</v>
      </c>
      <c r="E701" s="178">
        <v>240200</v>
      </c>
      <c r="F701" s="145">
        <v>8540</v>
      </c>
      <c r="G701" s="129">
        <v>22455</v>
      </c>
      <c r="H701" s="129">
        <v>11771</v>
      </c>
      <c r="I701" s="129">
        <v>22455</v>
      </c>
      <c r="J701" s="129">
        <f>SUM('Budget Req-WWTP'!E57)</f>
        <v>10500</v>
      </c>
      <c r="K701" s="129">
        <v>10500</v>
      </c>
    </row>
    <row r="702" spans="1:11" ht="18.75" thickBot="1" x14ac:dyDescent="0.3">
      <c r="A702" s="142" t="s">
        <v>167</v>
      </c>
      <c r="B702" s="148"/>
      <c r="C702" s="149"/>
      <c r="D702" s="278"/>
      <c r="E702" s="277"/>
      <c r="F702" s="150">
        <f>SUM(F696:F701)</f>
        <v>227540</v>
      </c>
      <c r="G702" s="136">
        <f>SUM(G690:G701)</f>
        <v>351355</v>
      </c>
      <c r="H702" s="136">
        <f>SUM(H690:H701)</f>
        <v>260379</v>
      </c>
      <c r="I702" s="136">
        <f>SUM(I690:I701)</f>
        <v>370418</v>
      </c>
      <c r="J702" s="136">
        <f>SUM(J690:J701)</f>
        <v>444300</v>
      </c>
      <c r="K702" s="136">
        <f>SUM(K690:K701)</f>
        <v>444300</v>
      </c>
    </row>
    <row r="703" spans="1:11" x14ac:dyDescent="0.25">
      <c r="A703" s="138">
        <v>540.01</v>
      </c>
      <c r="B703" s="116" t="s">
        <v>182</v>
      </c>
      <c r="C703" s="144"/>
      <c r="D703" s="156"/>
      <c r="E703" s="178"/>
      <c r="F703" s="145">
        <v>0</v>
      </c>
      <c r="G703" s="120">
        <v>5000</v>
      </c>
      <c r="H703" s="120">
        <v>356</v>
      </c>
      <c r="I703" s="120">
        <v>5000</v>
      </c>
      <c r="J703" s="120">
        <f>SUM('Budget Req-WWTP'!E59)</f>
        <v>10000</v>
      </c>
      <c r="K703" s="120">
        <v>10000</v>
      </c>
    </row>
    <row r="704" spans="1:11" x14ac:dyDescent="0.25">
      <c r="A704" s="141">
        <v>540.04</v>
      </c>
      <c r="B704" s="125" t="s">
        <v>317</v>
      </c>
      <c r="C704" s="178">
        <v>181512</v>
      </c>
      <c r="D704" s="156">
        <v>121008</v>
      </c>
      <c r="E704" s="178">
        <v>181512</v>
      </c>
      <c r="F704" s="145">
        <v>40000</v>
      </c>
      <c r="G704" s="129">
        <v>2000</v>
      </c>
      <c r="H704" s="147">
        <v>195</v>
      </c>
      <c r="I704" s="129">
        <v>2000</v>
      </c>
      <c r="J704" s="129">
        <f>SUM('Budget Req-WWTP'!E60)</f>
        <v>2000</v>
      </c>
      <c r="K704" s="129">
        <v>2000</v>
      </c>
    </row>
    <row r="705" spans="1:11" ht="18.75" thickBot="1" x14ac:dyDescent="0.3">
      <c r="A705" s="142" t="s">
        <v>254</v>
      </c>
      <c r="B705" s="148"/>
      <c r="C705" s="277"/>
      <c r="D705" s="278"/>
      <c r="E705" s="277"/>
      <c r="F705" s="150">
        <f t="shared" ref="F705:K705" si="83">SUM(F703:F704)</f>
        <v>40000</v>
      </c>
      <c r="G705" s="136">
        <f t="shared" si="83"/>
        <v>7000</v>
      </c>
      <c r="H705" s="136">
        <f t="shared" si="83"/>
        <v>551</v>
      </c>
      <c r="I705" s="136">
        <f t="shared" si="83"/>
        <v>7000</v>
      </c>
      <c r="J705" s="136">
        <f t="shared" si="83"/>
        <v>12000</v>
      </c>
      <c r="K705" s="136">
        <f t="shared" si="83"/>
        <v>12000</v>
      </c>
    </row>
    <row r="706" spans="1:11" x14ac:dyDescent="0.25">
      <c r="A706" s="138">
        <v>550.01</v>
      </c>
      <c r="B706" s="116" t="s">
        <v>203</v>
      </c>
      <c r="C706" s="178"/>
      <c r="D706" s="156"/>
      <c r="E706" s="178"/>
      <c r="F706" s="145"/>
      <c r="G706" s="121">
        <v>100</v>
      </c>
      <c r="H706" s="121">
        <v>0</v>
      </c>
      <c r="I706" s="120">
        <v>100</v>
      </c>
      <c r="J706" s="120">
        <v>2500</v>
      </c>
      <c r="K706" s="120">
        <v>2500</v>
      </c>
    </row>
    <row r="707" spans="1:11" x14ac:dyDescent="0.25">
      <c r="A707" s="158">
        <v>550.02</v>
      </c>
      <c r="B707" s="159" t="s">
        <v>309</v>
      </c>
      <c r="C707" s="144">
        <v>100</v>
      </c>
      <c r="D707" s="156">
        <v>5763</v>
      </c>
      <c r="E707" s="144">
        <v>8650</v>
      </c>
      <c r="F707" s="156">
        <v>10000</v>
      </c>
      <c r="G707" s="121">
        <v>40000</v>
      </c>
      <c r="H707" s="121">
        <v>81872</v>
      </c>
      <c r="I707" s="121">
        <v>81872</v>
      </c>
      <c r="J707" s="120">
        <f>SUM('Budget Req-WWTP'!E61)</f>
        <v>75000</v>
      </c>
      <c r="K707" s="120">
        <v>75000</v>
      </c>
    </row>
    <row r="708" spans="1:11" x14ac:dyDescent="0.25">
      <c r="A708" s="138">
        <v>550.03</v>
      </c>
      <c r="B708" s="116" t="s">
        <v>549</v>
      </c>
      <c r="C708" s="144"/>
      <c r="D708" s="156"/>
      <c r="E708" s="144"/>
      <c r="F708" s="156"/>
      <c r="G708" s="121">
        <v>750</v>
      </c>
      <c r="H708" s="121">
        <v>0</v>
      </c>
      <c r="I708" s="121">
        <v>750</v>
      </c>
      <c r="J708" s="120">
        <v>750</v>
      </c>
      <c r="K708" s="120">
        <v>750</v>
      </c>
    </row>
    <row r="709" spans="1:11" x14ac:dyDescent="0.25">
      <c r="A709" s="138">
        <v>550.04</v>
      </c>
      <c r="B709" s="116" t="s">
        <v>205</v>
      </c>
      <c r="C709" s="144"/>
      <c r="D709" s="156"/>
      <c r="E709" s="144"/>
      <c r="F709" s="156"/>
      <c r="G709" s="121">
        <v>2500</v>
      </c>
      <c r="H709" s="121">
        <v>231</v>
      </c>
      <c r="I709" s="121">
        <v>2500</v>
      </c>
      <c r="J709" s="120">
        <v>2500</v>
      </c>
      <c r="K709" s="120">
        <v>2500</v>
      </c>
    </row>
    <row r="710" spans="1:11" x14ac:dyDescent="0.25">
      <c r="A710" s="138">
        <v>550.05999999999995</v>
      </c>
      <c r="B710" s="116" t="s">
        <v>653</v>
      </c>
      <c r="C710" s="144"/>
      <c r="D710" s="156"/>
      <c r="E710" s="144"/>
      <c r="F710" s="156"/>
      <c r="G710" s="121">
        <v>500</v>
      </c>
      <c r="H710" s="121">
        <v>0</v>
      </c>
      <c r="I710" s="121">
        <v>500</v>
      </c>
      <c r="J710" s="120">
        <v>0</v>
      </c>
      <c r="K710" s="120">
        <v>0</v>
      </c>
    </row>
    <row r="711" spans="1:11" x14ac:dyDescent="0.25">
      <c r="A711" s="141">
        <v>550.09</v>
      </c>
      <c r="B711" s="125" t="s">
        <v>216</v>
      </c>
      <c r="C711" s="144"/>
      <c r="D711" s="156"/>
      <c r="E711" s="144"/>
      <c r="F711" s="156"/>
      <c r="G711" s="147">
        <v>0</v>
      </c>
      <c r="H711" s="147">
        <v>0</v>
      </c>
      <c r="I711" s="147">
        <v>0</v>
      </c>
      <c r="J711" s="129">
        <v>0</v>
      </c>
      <c r="K711" s="129">
        <v>0</v>
      </c>
    </row>
    <row r="712" spans="1:11" ht="18.75" thickBot="1" x14ac:dyDescent="0.3">
      <c r="A712" s="287" t="s">
        <v>306</v>
      </c>
      <c r="B712" s="288"/>
      <c r="C712" s="149"/>
      <c r="D712" s="278"/>
      <c r="E712" s="149"/>
      <c r="F712" s="278">
        <f>SUM(F707)</f>
        <v>10000</v>
      </c>
      <c r="G712" s="182">
        <f>SUM(G706:G711)</f>
        <v>43850</v>
      </c>
      <c r="H712" s="182">
        <f>SUM(H706:H711)</f>
        <v>82103</v>
      </c>
      <c r="I712" s="182">
        <f>SUM(I706:I711)</f>
        <v>85722</v>
      </c>
      <c r="J712" s="182">
        <f>SUM(J706:J711)</f>
        <v>80750</v>
      </c>
      <c r="K712" s="136">
        <f>SUM(K706:K711)</f>
        <v>80750</v>
      </c>
    </row>
    <row r="713" spans="1:11" x14ac:dyDescent="0.25">
      <c r="A713" s="158">
        <v>560.02</v>
      </c>
      <c r="B713" s="159" t="s">
        <v>179</v>
      </c>
      <c r="C713" s="178"/>
      <c r="D713" s="156"/>
      <c r="E713" s="178"/>
      <c r="F713" s="156"/>
      <c r="G713" s="121">
        <v>300</v>
      </c>
      <c r="H713" s="121">
        <v>221</v>
      </c>
      <c r="I713" s="121">
        <v>300</v>
      </c>
      <c r="J713" s="121">
        <f>SUM('Budget Req-WWTP'!E69)</f>
        <v>300</v>
      </c>
      <c r="K713" s="121">
        <v>300</v>
      </c>
    </row>
    <row r="714" spans="1:11" x14ac:dyDescent="0.25">
      <c r="A714" s="158">
        <v>560.09</v>
      </c>
      <c r="B714" s="159" t="s">
        <v>496</v>
      </c>
      <c r="C714" s="178"/>
      <c r="D714" s="156"/>
      <c r="E714" s="178"/>
      <c r="F714" s="156"/>
      <c r="G714" s="121">
        <v>100</v>
      </c>
      <c r="H714" s="121">
        <v>0</v>
      </c>
      <c r="I714" s="121">
        <v>100</v>
      </c>
      <c r="J714" s="121">
        <f>SUM('Budget Req-WWTP'!E71)</f>
        <v>100</v>
      </c>
      <c r="K714" s="121">
        <v>280</v>
      </c>
    </row>
    <row r="715" spans="1:11" x14ac:dyDescent="0.25">
      <c r="A715" s="284">
        <v>560.1</v>
      </c>
      <c r="B715" s="285" t="s">
        <v>180</v>
      </c>
      <c r="C715" s="178"/>
      <c r="D715" s="156"/>
      <c r="E715" s="178"/>
      <c r="F715" s="156"/>
      <c r="G715" s="147">
        <v>1000</v>
      </c>
      <c r="H715" s="147">
        <v>1406</v>
      </c>
      <c r="I715" s="147">
        <v>1410</v>
      </c>
      <c r="J715" s="147">
        <f>SUM('Budget Req-WWTP'!E73)</f>
        <v>2400</v>
      </c>
      <c r="K715" s="147">
        <v>2400</v>
      </c>
    </row>
    <row r="716" spans="1:11" ht="18.75" thickBot="1" x14ac:dyDescent="0.3">
      <c r="A716" s="287" t="s">
        <v>178</v>
      </c>
      <c r="B716" s="288"/>
      <c r="C716" s="277"/>
      <c r="D716" s="278"/>
      <c r="E716" s="277"/>
      <c r="F716" s="278"/>
      <c r="G716" s="182">
        <f>SUM(G713:G715)</f>
        <v>1400</v>
      </c>
      <c r="H716" s="182">
        <f>SUM(H713:H715)</f>
        <v>1627</v>
      </c>
      <c r="I716" s="182">
        <f>SUM(I713:I715)</f>
        <v>1810</v>
      </c>
      <c r="J716" s="182">
        <f>SUM(J713:J715)</f>
        <v>2800</v>
      </c>
      <c r="K716" s="182">
        <f>SUM(K713:K715)</f>
        <v>2980</v>
      </c>
    </row>
    <row r="717" spans="1:11" x14ac:dyDescent="0.25">
      <c r="A717" s="158">
        <v>580.01</v>
      </c>
      <c r="B717" s="159" t="s">
        <v>182</v>
      </c>
      <c r="C717" s="178">
        <v>10500</v>
      </c>
      <c r="D717" s="156">
        <v>187</v>
      </c>
      <c r="E717" s="178">
        <v>280</v>
      </c>
      <c r="F717" s="156">
        <v>0</v>
      </c>
      <c r="G717" s="121">
        <v>0</v>
      </c>
      <c r="H717" s="121">
        <v>0</v>
      </c>
      <c r="I717" s="121">
        <v>0</v>
      </c>
      <c r="J717" s="121">
        <f>SUM('Budget Req-WWTP'!E75)</f>
        <v>17000</v>
      </c>
      <c r="K717" s="121">
        <v>17000</v>
      </c>
    </row>
    <row r="718" spans="1:11" x14ac:dyDescent="0.25">
      <c r="A718" s="284">
        <v>580.20000000000005</v>
      </c>
      <c r="B718" s="285" t="s">
        <v>216</v>
      </c>
      <c r="C718" s="178"/>
      <c r="D718" s="156"/>
      <c r="E718" s="178"/>
      <c r="F718" s="156"/>
      <c r="G718" s="147">
        <v>5000</v>
      </c>
      <c r="H718" s="147">
        <v>9198</v>
      </c>
      <c r="I718" s="147">
        <v>9200</v>
      </c>
      <c r="J718" s="147">
        <f>SUM('Budget Req-WWTP'!E77)</f>
        <v>10000</v>
      </c>
      <c r="K718" s="147">
        <v>10000</v>
      </c>
    </row>
    <row r="719" spans="1:11" ht="18.75" thickBot="1" x14ac:dyDescent="0.3">
      <c r="A719" s="287" t="s">
        <v>318</v>
      </c>
      <c r="B719" s="288"/>
      <c r="C719" s="277"/>
      <c r="D719" s="278"/>
      <c r="E719" s="277"/>
      <c r="F719" s="278">
        <f>SUM(F717:F717)</f>
        <v>0</v>
      </c>
      <c r="G719" s="182">
        <f>SUM(G717:G718)</f>
        <v>5000</v>
      </c>
      <c r="H719" s="182">
        <f>SUM(H717:H718)</f>
        <v>9198</v>
      </c>
      <c r="I719" s="182">
        <f>SUM(I717:I718)</f>
        <v>9200</v>
      </c>
      <c r="J719" s="182">
        <f>SUM(J717:J718)</f>
        <v>27000</v>
      </c>
      <c r="K719" s="182">
        <f>SUM(K717:K718)</f>
        <v>27000</v>
      </c>
    </row>
    <row r="720" spans="1:11" x14ac:dyDescent="0.25">
      <c r="A720" s="158">
        <v>590.01</v>
      </c>
      <c r="B720" s="159" t="s">
        <v>203</v>
      </c>
      <c r="C720" s="178"/>
      <c r="D720" s="156"/>
      <c r="E720" s="178"/>
      <c r="F720" s="156"/>
      <c r="G720" s="121">
        <v>1200</v>
      </c>
      <c r="H720" s="121">
        <v>1374</v>
      </c>
      <c r="I720" s="121">
        <v>1400</v>
      </c>
      <c r="J720" s="121">
        <v>10000</v>
      </c>
      <c r="K720" s="121">
        <v>10000</v>
      </c>
    </row>
    <row r="721" spans="1:12" x14ac:dyDescent="0.25">
      <c r="A721" s="158">
        <v>590.02</v>
      </c>
      <c r="B721" s="159" t="s">
        <v>309</v>
      </c>
      <c r="C721" s="178"/>
      <c r="D721" s="156"/>
      <c r="E721" s="178"/>
      <c r="F721" s="156"/>
      <c r="G721" s="121">
        <v>22800</v>
      </c>
      <c r="H721" s="121">
        <v>10233</v>
      </c>
      <c r="I721" s="121">
        <f>19116+3000</f>
        <v>22116</v>
      </c>
      <c r="J721" s="121">
        <f>SUM('Budget Req-WWTP'!E85)</f>
        <v>9000</v>
      </c>
      <c r="K721" s="121">
        <v>9000</v>
      </c>
    </row>
    <row r="722" spans="1:12" x14ac:dyDescent="0.25">
      <c r="A722" s="158">
        <v>590.03</v>
      </c>
      <c r="B722" s="159" t="s">
        <v>552</v>
      </c>
      <c r="C722" s="178"/>
      <c r="D722" s="156"/>
      <c r="E722" s="178"/>
      <c r="F722" s="156"/>
      <c r="G722" s="121">
        <v>0</v>
      </c>
      <c r="H722" s="121">
        <v>0</v>
      </c>
      <c r="I722" s="121">
        <v>0</v>
      </c>
      <c r="J722" s="121">
        <f>SUM('Budget Req-WWTP'!E87)</f>
        <v>0</v>
      </c>
      <c r="K722" s="121">
        <f>SUM('Budget Req-WWTP'!F87)</f>
        <v>0</v>
      </c>
    </row>
    <row r="723" spans="1:12" x14ac:dyDescent="0.25">
      <c r="A723" s="284">
        <v>590.04</v>
      </c>
      <c r="B723" s="285" t="s">
        <v>553</v>
      </c>
      <c r="C723" s="178"/>
      <c r="D723" s="156"/>
      <c r="E723" s="178"/>
      <c r="F723" s="156"/>
      <c r="G723" s="147">
        <v>7185</v>
      </c>
      <c r="H723" s="147">
        <v>7709</v>
      </c>
      <c r="I723" s="147">
        <v>7709</v>
      </c>
      <c r="J723" s="147">
        <f>SUM('Budget Req-WWTP'!E89)</f>
        <v>7709</v>
      </c>
      <c r="K723" s="147">
        <v>7709</v>
      </c>
    </row>
    <row r="724" spans="1:12" ht="18.75" thickBot="1" x14ac:dyDescent="0.3">
      <c r="A724" s="287" t="s">
        <v>262</v>
      </c>
      <c r="B724" s="288"/>
      <c r="C724" s="277"/>
      <c r="D724" s="278"/>
      <c r="E724" s="277"/>
      <c r="F724" s="278"/>
      <c r="G724" s="182">
        <f>SUM(G720:G723)</f>
        <v>31185</v>
      </c>
      <c r="H724" s="182">
        <f>SUM(H720:H723)</f>
        <v>19316</v>
      </c>
      <c r="I724" s="182">
        <f>SUM(I720:I723)</f>
        <v>31225</v>
      </c>
      <c r="J724" s="182">
        <f>SUM(J720:J723)</f>
        <v>26709</v>
      </c>
      <c r="K724" s="182">
        <f>SUM(K720:K723)</f>
        <v>26709</v>
      </c>
    </row>
    <row r="725" spans="1:12" x14ac:dyDescent="0.25">
      <c r="A725" s="158">
        <v>610.11</v>
      </c>
      <c r="B725" s="159" t="s">
        <v>1045</v>
      </c>
      <c r="C725" s="178"/>
      <c r="D725" s="156"/>
      <c r="E725" s="178"/>
      <c r="F725" s="156">
        <v>364510</v>
      </c>
      <c r="G725" s="493">
        <v>0</v>
      </c>
      <c r="H725" s="493">
        <v>0</v>
      </c>
      <c r="I725" s="493">
        <v>0</v>
      </c>
      <c r="J725" s="121">
        <v>700000</v>
      </c>
      <c r="K725" s="121">
        <v>700000</v>
      </c>
    </row>
    <row r="726" spans="1:12" x14ac:dyDescent="0.25">
      <c r="A726" s="284">
        <v>620.04999999999995</v>
      </c>
      <c r="B726" s="285" t="s">
        <v>321</v>
      </c>
      <c r="C726" s="178"/>
      <c r="D726" s="156"/>
      <c r="E726" s="178"/>
      <c r="F726" s="156">
        <v>193161</v>
      </c>
      <c r="G726" s="147">
        <v>120000</v>
      </c>
      <c r="H726" s="147">
        <v>90000</v>
      </c>
      <c r="I726" s="147">
        <v>120000</v>
      </c>
      <c r="J726" s="147">
        <f>SUM('Budget Req-WWTP'!E91)</f>
        <v>300000</v>
      </c>
      <c r="K726" s="147">
        <v>287500</v>
      </c>
    </row>
    <row r="727" spans="1:12" ht="18.75" thickBot="1" x14ac:dyDescent="0.3">
      <c r="A727" s="291" t="s">
        <v>320</v>
      </c>
      <c r="B727" s="292"/>
      <c r="C727" s="228"/>
      <c r="D727" s="156"/>
      <c r="E727" s="178"/>
      <c r="F727" s="156">
        <f>SUM(F725:F726)</f>
        <v>557671</v>
      </c>
      <c r="G727" s="112">
        <f t="shared" ref="G727:I727" si="84">SUM(G725:G726)</f>
        <v>120000</v>
      </c>
      <c r="H727" s="112">
        <f t="shared" si="84"/>
        <v>90000</v>
      </c>
      <c r="I727" s="310">
        <f t="shared" si="84"/>
        <v>120000</v>
      </c>
      <c r="J727" s="112">
        <f>SUM(J725:J726)</f>
        <v>1000000</v>
      </c>
      <c r="K727" s="112">
        <f>SUM(K725:K726)</f>
        <v>987500</v>
      </c>
    </row>
    <row r="728" spans="1:12" ht="18.75" thickBot="1" x14ac:dyDescent="0.3">
      <c r="A728" s="522" t="s">
        <v>1049</v>
      </c>
      <c r="B728" s="523"/>
      <c r="C728" s="461">
        <f>SUM(C670:C726)</f>
        <v>922407</v>
      </c>
      <c r="D728" s="462">
        <f>SUM(D670:D726)</f>
        <v>609900</v>
      </c>
      <c r="E728" s="462">
        <f>SUM(E670:E726)</f>
        <v>893350</v>
      </c>
      <c r="F728" s="462">
        <f>SUM(F678+F702+F705+F712+F719+F727)</f>
        <v>840711</v>
      </c>
      <c r="G728" s="507">
        <f>SUM(G678+G689+G702+G705+G712+G716+G719+G724+G727)</f>
        <v>798442</v>
      </c>
      <c r="H728" s="507">
        <f>SUM(H678+H689+H702+H705+H712+H716+H719+H724+H727)</f>
        <v>636167</v>
      </c>
      <c r="I728" s="507">
        <f>SUM(I678+I689+I702+I705+I712+I716+I719+I724+I727)</f>
        <v>886791.38939999999</v>
      </c>
      <c r="J728" s="507">
        <f>SUM(J678+J689+J702+J705+J712+J716+J719+J724+J727)</f>
        <v>1878480.69564</v>
      </c>
      <c r="K728" s="507">
        <f>SUM(K678+K689+K702+K705+K712+K716+K719+K724+K727)</f>
        <v>1865233.47</v>
      </c>
    </row>
    <row r="729" spans="1:12" x14ac:dyDescent="0.25">
      <c r="A729" s="228"/>
      <c r="B729" s="228"/>
      <c r="C729" s="228"/>
      <c r="D729" s="156"/>
      <c r="E729" s="156"/>
      <c r="F729" s="473"/>
      <c r="G729" s="346"/>
      <c r="H729" s="346"/>
      <c r="I729" s="346"/>
      <c r="J729" s="310"/>
      <c r="K729" s="228"/>
    </row>
    <row r="730" spans="1:12" x14ac:dyDescent="0.25">
      <c r="A730" s="281"/>
      <c r="B730" s="281"/>
      <c r="C730" s="460"/>
      <c r="D730" s="473"/>
      <c r="E730" s="473"/>
      <c r="F730" s="473"/>
      <c r="G730" s="473"/>
      <c r="H730" s="473"/>
      <c r="I730" s="473"/>
      <c r="J730" s="156"/>
      <c r="K730" s="228"/>
    </row>
    <row r="731" spans="1:12" x14ac:dyDescent="0.25">
      <c r="A731" s="193"/>
      <c r="B731" s="193"/>
      <c r="C731" s="189"/>
      <c r="D731" s="194"/>
      <c r="E731" s="194"/>
      <c r="F731" s="296"/>
      <c r="G731" s="145"/>
      <c r="H731" s="145"/>
      <c r="I731" s="145"/>
      <c r="J731" s="119"/>
    </row>
    <row r="732" spans="1:12" x14ac:dyDescent="0.25">
      <c r="A732" s="347"/>
      <c r="B732" s="102"/>
      <c r="C732" s="348"/>
      <c r="D732" s="348"/>
      <c r="E732" s="348"/>
      <c r="F732" s="348"/>
      <c r="G732" s="99"/>
      <c r="H732" s="100"/>
      <c r="I732" s="101" t="str">
        <f>+I2</f>
        <v xml:space="preserve"> Estimated</v>
      </c>
      <c r="J732" s="101" t="s">
        <v>1093</v>
      </c>
      <c r="K732" s="101" t="s">
        <v>1075</v>
      </c>
      <c r="L732" s="359"/>
    </row>
    <row r="733" spans="1:12" x14ac:dyDescent="0.25">
      <c r="A733" s="515" t="s">
        <v>322</v>
      </c>
      <c r="B733" s="516"/>
      <c r="C733" s="330" t="s">
        <v>27</v>
      </c>
      <c r="D733" s="330" t="s">
        <v>30</v>
      </c>
      <c r="E733" s="330" t="s">
        <v>29</v>
      </c>
      <c r="F733" s="330" t="s">
        <v>405</v>
      </c>
      <c r="G733" s="105" t="str">
        <f>+G3</f>
        <v>Budget 2016-17</v>
      </c>
      <c r="H733" s="105" t="str">
        <f>+H3</f>
        <v>Actual 5/31/17</v>
      </c>
      <c r="I733" s="106">
        <f>+I3</f>
        <v>43008</v>
      </c>
      <c r="J733" s="105" t="str">
        <f>+J3</f>
        <v>Budget 2017-18</v>
      </c>
      <c r="K733" s="105" t="s">
        <v>1076</v>
      </c>
      <c r="L733" s="360"/>
    </row>
    <row r="734" spans="1:12" x14ac:dyDescent="0.25">
      <c r="A734" s="463" t="s">
        <v>556</v>
      </c>
      <c r="B734" s="357" t="s">
        <v>5</v>
      </c>
      <c r="C734" s="281"/>
      <c r="D734" s="281"/>
      <c r="E734" s="281"/>
      <c r="F734" s="281"/>
      <c r="G734" s="358">
        <v>115260</v>
      </c>
      <c r="H734" s="358">
        <v>88891</v>
      </c>
      <c r="I734" s="358">
        <f>+H734+(9400*4)</f>
        <v>126491</v>
      </c>
      <c r="J734" s="112">
        <f>SUM('Personnel Sched-RO'!K14)*1.02</f>
        <v>123637.056</v>
      </c>
      <c r="K734" s="358">
        <v>152389</v>
      </c>
      <c r="L734" s="360"/>
    </row>
    <row r="735" spans="1:12" x14ac:dyDescent="0.25">
      <c r="A735" s="459">
        <v>510.03</v>
      </c>
      <c r="B735" s="159" t="s">
        <v>155</v>
      </c>
      <c r="C735" s="178">
        <v>310090</v>
      </c>
      <c r="D735" s="156">
        <v>209920</v>
      </c>
      <c r="E735" s="178">
        <v>314880</v>
      </c>
      <c r="F735" s="156">
        <v>0</v>
      </c>
      <c r="G735" s="121">
        <v>12800</v>
      </c>
      <c r="H735" s="121">
        <v>15241</v>
      </c>
      <c r="I735" s="268">
        <v>15241</v>
      </c>
      <c r="J735" s="121">
        <f>SUM('Budget Req-RO'!E11)</f>
        <v>15000</v>
      </c>
      <c r="K735" s="268">
        <v>15000</v>
      </c>
      <c r="L735" s="360"/>
    </row>
    <row r="736" spans="1:12" x14ac:dyDescent="0.25">
      <c r="A736" s="158">
        <v>510.05</v>
      </c>
      <c r="B736" s="159" t="s">
        <v>194</v>
      </c>
      <c r="C736" s="178"/>
      <c r="D736" s="156"/>
      <c r="E736" s="178"/>
      <c r="F736" s="156"/>
      <c r="G736" s="121">
        <v>15498</v>
      </c>
      <c r="H736" s="121">
        <v>8729</v>
      </c>
      <c r="I736" s="202">
        <v>15498</v>
      </c>
      <c r="J736" s="121">
        <f>SUM('Budget Req-RO'!E18)</f>
        <v>17153.98</v>
      </c>
      <c r="K736" s="268">
        <v>25706</v>
      </c>
      <c r="L736" s="360"/>
    </row>
    <row r="737" spans="1:12" x14ac:dyDescent="0.25">
      <c r="A737" s="158">
        <v>510.06</v>
      </c>
      <c r="B737" s="159" t="s">
        <v>19</v>
      </c>
      <c r="C737" s="178"/>
      <c r="D737" s="156"/>
      <c r="E737" s="178"/>
      <c r="F737" s="156"/>
      <c r="G737" s="121">
        <v>8817</v>
      </c>
      <c r="H737" s="121">
        <v>5909</v>
      </c>
      <c r="I737" s="202">
        <f>+I734*0.077</f>
        <v>9739.8070000000007</v>
      </c>
      <c r="J737" s="121">
        <f>SUM('Budget Req-RO'!E20)</f>
        <v>9272.779199999999</v>
      </c>
      <c r="K737" s="268">
        <v>11658</v>
      </c>
      <c r="L737" s="360"/>
    </row>
    <row r="738" spans="1:12" x14ac:dyDescent="0.25">
      <c r="A738" s="158">
        <v>510.07</v>
      </c>
      <c r="B738" s="159" t="s">
        <v>158</v>
      </c>
      <c r="C738" s="178"/>
      <c r="D738" s="156"/>
      <c r="E738" s="178"/>
      <c r="F738" s="156"/>
      <c r="G738" s="121">
        <v>5867</v>
      </c>
      <c r="H738" s="121">
        <v>3525</v>
      </c>
      <c r="I738" s="202">
        <f>+I734*0.0502</f>
        <v>6349.8482000000004</v>
      </c>
      <c r="J738" s="121">
        <f>SUM('Budget Req-RO'!E22)</f>
        <v>6084.88256</v>
      </c>
      <c r="K738" s="268">
        <v>7787</v>
      </c>
      <c r="L738" s="360"/>
    </row>
    <row r="739" spans="1:12" x14ac:dyDescent="0.25">
      <c r="A739" s="158">
        <v>510.08</v>
      </c>
      <c r="B739" s="159" t="s">
        <v>326</v>
      </c>
      <c r="C739" s="178"/>
      <c r="D739" s="156"/>
      <c r="E739" s="178"/>
      <c r="F739" s="156"/>
      <c r="G739" s="121">
        <v>3340</v>
      </c>
      <c r="H739" s="121">
        <v>1904</v>
      </c>
      <c r="I739" s="202">
        <v>3300</v>
      </c>
      <c r="J739" s="121">
        <f>SUM('Budget Req-RO'!E24)</f>
        <v>3219.5799999999995</v>
      </c>
      <c r="K739" s="268">
        <v>4587</v>
      </c>
      <c r="L739" s="360"/>
    </row>
    <row r="740" spans="1:12" x14ac:dyDescent="0.25">
      <c r="A740" s="158">
        <v>510.09</v>
      </c>
      <c r="B740" s="159" t="s">
        <v>690</v>
      </c>
      <c r="C740" s="178"/>
      <c r="D740" s="156"/>
      <c r="E740" s="178"/>
      <c r="F740" s="156"/>
      <c r="G740" s="121">
        <v>930</v>
      </c>
      <c r="H740" s="121">
        <v>0</v>
      </c>
      <c r="I740" s="202">
        <v>730</v>
      </c>
      <c r="J740" s="121">
        <f>SUM('Budget Req-RO'!E26)+(+J734*0.01)</f>
        <v>2166.3705600000003</v>
      </c>
      <c r="K740" s="268">
        <v>1524</v>
      </c>
      <c r="L740" s="360"/>
    </row>
    <row r="741" spans="1:12" x14ac:dyDescent="0.25">
      <c r="A741" s="158">
        <v>510.11</v>
      </c>
      <c r="B741" s="159" t="s">
        <v>236</v>
      </c>
      <c r="C741" s="178"/>
      <c r="D741" s="156"/>
      <c r="E741" s="178"/>
      <c r="F741" s="156"/>
      <c r="G741" s="121">
        <v>0</v>
      </c>
      <c r="H741" s="121">
        <v>200</v>
      </c>
      <c r="I741" s="202">
        <v>200</v>
      </c>
      <c r="J741" s="121">
        <v>0</v>
      </c>
      <c r="K741" s="268">
        <v>0</v>
      </c>
      <c r="L741" s="146"/>
    </row>
    <row r="742" spans="1:12" x14ac:dyDescent="0.25">
      <c r="A742" s="284">
        <v>510.12</v>
      </c>
      <c r="B742" s="285" t="s">
        <v>536</v>
      </c>
      <c r="C742" s="178"/>
      <c r="D742" s="156"/>
      <c r="E742" s="178"/>
      <c r="F742" s="156"/>
      <c r="G742" s="147">
        <v>900</v>
      </c>
      <c r="H742" s="147">
        <v>0</v>
      </c>
      <c r="I742" s="286">
        <v>900</v>
      </c>
      <c r="J742" s="147">
        <f>SUM('Budget Req-RO'!E28)</f>
        <v>600</v>
      </c>
      <c r="K742" s="269">
        <v>2550</v>
      </c>
      <c r="L742" s="146"/>
    </row>
    <row r="743" spans="1:12" ht="18.75" thickBot="1" x14ac:dyDescent="0.3">
      <c r="A743" s="506" t="s">
        <v>210</v>
      </c>
      <c r="B743" s="288"/>
      <c r="C743" s="277"/>
      <c r="D743" s="278"/>
      <c r="E743" s="277"/>
      <c r="F743" s="278">
        <f>SUM(F735)</f>
        <v>0</v>
      </c>
      <c r="G743" s="182">
        <f>SUM(G734:G742)</f>
        <v>163412</v>
      </c>
      <c r="H743" s="182">
        <f>SUM(H734:H742)</f>
        <v>124399</v>
      </c>
      <c r="I743" s="182">
        <f>SUM(I734:I742)</f>
        <v>178449.65520000001</v>
      </c>
      <c r="J743" s="182">
        <f>SUM(J734:J742)</f>
        <v>177134.64831999998</v>
      </c>
      <c r="K743" s="182">
        <f>SUM(K734:K742)</f>
        <v>221201</v>
      </c>
      <c r="L743" s="146"/>
    </row>
    <row r="744" spans="1:12" x14ac:dyDescent="0.25">
      <c r="A744" s="158">
        <v>520.01</v>
      </c>
      <c r="B744" s="159" t="s">
        <v>161</v>
      </c>
      <c r="C744" s="178"/>
      <c r="D744" s="156"/>
      <c r="E744" s="178"/>
      <c r="F744" s="156"/>
      <c r="G744" s="121">
        <v>1700</v>
      </c>
      <c r="H744" s="121">
        <v>931</v>
      </c>
      <c r="I744" s="121">
        <v>1700</v>
      </c>
      <c r="J744" s="202">
        <v>1700</v>
      </c>
      <c r="K744" s="202">
        <v>1700</v>
      </c>
      <c r="L744" s="146"/>
    </row>
    <row r="745" spans="1:12" x14ac:dyDescent="0.25">
      <c r="A745" s="138">
        <v>520.03</v>
      </c>
      <c r="B745" s="116" t="s">
        <v>894</v>
      </c>
      <c r="C745" s="144"/>
      <c r="D745" s="145"/>
      <c r="E745" s="144"/>
      <c r="F745" s="156"/>
      <c r="G745" s="120">
        <v>0</v>
      </c>
      <c r="H745" s="120">
        <v>53</v>
      </c>
      <c r="I745" s="121">
        <v>100</v>
      </c>
      <c r="J745" s="139">
        <v>200</v>
      </c>
      <c r="K745" s="139">
        <v>200</v>
      </c>
    </row>
    <row r="746" spans="1:12" x14ac:dyDescent="0.25">
      <c r="A746" s="158">
        <v>520.04</v>
      </c>
      <c r="B746" s="159" t="s">
        <v>543</v>
      </c>
      <c r="C746" s="144"/>
      <c r="D746" s="145"/>
      <c r="E746" s="144"/>
      <c r="F746" s="156"/>
      <c r="G746" s="120">
        <v>2300</v>
      </c>
      <c r="H746" s="120">
        <v>1534</v>
      </c>
      <c r="I746" s="121">
        <v>2500</v>
      </c>
      <c r="J746" s="120">
        <v>4000</v>
      </c>
      <c r="K746" s="120">
        <v>4000</v>
      </c>
    </row>
    <row r="747" spans="1:12" x14ac:dyDescent="0.25">
      <c r="A747" s="158">
        <v>520.05999999999995</v>
      </c>
      <c r="B747" s="159" t="s">
        <v>231</v>
      </c>
      <c r="C747" s="144"/>
      <c r="D747" s="145"/>
      <c r="E747" s="144"/>
      <c r="F747" s="156"/>
      <c r="G747" s="120">
        <v>3000</v>
      </c>
      <c r="H747" s="120">
        <v>2210</v>
      </c>
      <c r="I747" s="121">
        <v>3000</v>
      </c>
      <c r="J747" s="139">
        <v>4000</v>
      </c>
      <c r="K747" s="139">
        <v>4000</v>
      </c>
    </row>
    <row r="748" spans="1:12" x14ac:dyDescent="0.25">
      <c r="A748" s="158">
        <v>520.07000000000005</v>
      </c>
      <c r="B748" s="159" t="s">
        <v>544</v>
      </c>
      <c r="C748" s="144"/>
      <c r="D748" s="145"/>
      <c r="E748" s="144"/>
      <c r="F748" s="156"/>
      <c r="G748" s="120">
        <v>650</v>
      </c>
      <c r="H748" s="120">
        <v>211</v>
      </c>
      <c r="I748" s="121">
        <v>500</v>
      </c>
      <c r="J748" s="333">
        <v>2000</v>
      </c>
      <c r="K748" s="333">
        <v>2000</v>
      </c>
    </row>
    <row r="749" spans="1:12" x14ac:dyDescent="0.25">
      <c r="A749" s="158">
        <v>520.08000000000004</v>
      </c>
      <c r="B749" s="159" t="s">
        <v>545</v>
      </c>
      <c r="C749" s="144"/>
      <c r="D749" s="145"/>
      <c r="E749" s="144"/>
      <c r="F749" s="156"/>
      <c r="G749" s="120">
        <v>500</v>
      </c>
      <c r="H749" s="120">
        <v>371</v>
      </c>
      <c r="I749" s="121">
        <v>500</v>
      </c>
      <c r="J749" s="139">
        <v>600</v>
      </c>
      <c r="K749" s="139">
        <v>600</v>
      </c>
    </row>
    <row r="750" spans="1:12" x14ac:dyDescent="0.25">
      <c r="A750" s="158">
        <v>520.09</v>
      </c>
      <c r="B750" s="159" t="s">
        <v>972</v>
      </c>
      <c r="C750" s="144"/>
      <c r="D750" s="145"/>
      <c r="E750" s="144"/>
      <c r="F750" s="156"/>
      <c r="G750" s="120">
        <v>80675</v>
      </c>
      <c r="H750" s="120">
        <v>34686</v>
      </c>
      <c r="I750" s="121">
        <f>37010+10000</f>
        <v>47010</v>
      </c>
      <c r="J750" s="120">
        <f>SUM('Budget Req-RO'!E44)</f>
        <v>89000</v>
      </c>
      <c r="K750" s="120">
        <v>89000</v>
      </c>
    </row>
    <row r="751" spans="1:12" x14ac:dyDescent="0.25">
      <c r="A751" s="138">
        <v>520.1</v>
      </c>
      <c r="B751" s="116" t="s">
        <v>216</v>
      </c>
      <c r="C751" s="144"/>
      <c r="D751" s="145"/>
      <c r="E751" s="144"/>
      <c r="F751" s="156"/>
      <c r="G751" s="120">
        <v>1700</v>
      </c>
      <c r="H751" s="120">
        <v>4842</v>
      </c>
      <c r="I751" s="121">
        <v>5000</v>
      </c>
      <c r="J751" s="139">
        <v>5000</v>
      </c>
      <c r="K751" s="139">
        <v>5000</v>
      </c>
    </row>
    <row r="752" spans="1:12" x14ac:dyDescent="0.25">
      <c r="A752" s="141">
        <v>520.11</v>
      </c>
      <c r="B752" s="125" t="s">
        <v>973</v>
      </c>
      <c r="C752" s="144"/>
      <c r="D752" s="145"/>
      <c r="E752" s="144"/>
      <c r="F752" s="156"/>
      <c r="G752" s="129">
        <v>0</v>
      </c>
      <c r="H752" s="129">
        <v>0</v>
      </c>
      <c r="I752" s="147">
        <v>0</v>
      </c>
      <c r="J752" s="286">
        <v>3000</v>
      </c>
      <c r="K752" s="286">
        <v>3000</v>
      </c>
    </row>
    <row r="753" spans="1:11" ht="18.75" thickBot="1" x14ac:dyDescent="0.3">
      <c r="A753" s="142" t="s">
        <v>166</v>
      </c>
      <c r="B753" s="148"/>
      <c r="C753" s="149"/>
      <c r="D753" s="150"/>
      <c r="E753" s="149"/>
      <c r="F753" s="278"/>
      <c r="G753" s="136">
        <f>SUM(G744:G752)</f>
        <v>90525</v>
      </c>
      <c r="H753" s="136">
        <f>SUM(H744:H752)</f>
        <v>44838</v>
      </c>
      <c r="I753" s="182">
        <f>SUM(I744:I752)</f>
        <v>60310</v>
      </c>
      <c r="J753" s="307">
        <f>SUM(J744:J752)</f>
        <v>109500</v>
      </c>
      <c r="K753" s="136">
        <f>SUM(K744:K752)</f>
        <v>109500</v>
      </c>
    </row>
    <row r="754" spans="1:11" x14ac:dyDescent="0.25">
      <c r="A754" s="138">
        <v>530.01</v>
      </c>
      <c r="B754" s="116" t="s">
        <v>201</v>
      </c>
      <c r="C754" s="177">
        <v>16500</v>
      </c>
      <c r="D754" s="145">
        <v>10435</v>
      </c>
      <c r="E754" s="144">
        <v>15652</v>
      </c>
      <c r="F754" s="145">
        <v>1450</v>
      </c>
      <c r="G754" s="120">
        <v>3370</v>
      </c>
      <c r="H754" s="120">
        <v>2579</v>
      </c>
      <c r="I754" s="121">
        <v>3870</v>
      </c>
      <c r="J754" s="120">
        <f>SUM('Budget Req-RO'!E48)</f>
        <v>3500</v>
      </c>
      <c r="K754" s="120">
        <v>3500</v>
      </c>
    </row>
    <row r="755" spans="1:11" x14ac:dyDescent="0.25">
      <c r="A755" s="138">
        <v>530.02</v>
      </c>
      <c r="B755" s="116" t="s">
        <v>546</v>
      </c>
      <c r="C755" s="177"/>
      <c r="D755" s="145"/>
      <c r="E755" s="144"/>
      <c r="F755" s="145"/>
      <c r="G755" s="120">
        <v>21800</v>
      </c>
      <c r="H755" s="120">
        <v>1902</v>
      </c>
      <c r="I755" s="121">
        <v>10000</v>
      </c>
      <c r="J755" s="120">
        <f>SUM('Budget Req-RO'!E52)</f>
        <v>22000</v>
      </c>
      <c r="K755" s="120">
        <v>22000</v>
      </c>
    </row>
    <row r="756" spans="1:11" x14ac:dyDescent="0.25">
      <c r="A756" s="138">
        <v>530.03</v>
      </c>
      <c r="B756" s="116" t="s">
        <v>605</v>
      </c>
      <c r="C756" s="177"/>
      <c r="D756" s="145"/>
      <c r="E756" s="144"/>
      <c r="F756" s="145"/>
      <c r="G756" s="120">
        <v>0</v>
      </c>
      <c r="H756" s="120">
        <v>0</v>
      </c>
      <c r="I756" s="121">
        <v>0</v>
      </c>
      <c r="J756" s="120">
        <v>0</v>
      </c>
      <c r="K756" s="120">
        <v>0</v>
      </c>
    </row>
    <row r="757" spans="1:11" x14ac:dyDescent="0.25">
      <c r="A757" s="138">
        <v>530.04</v>
      </c>
      <c r="B757" s="116" t="s">
        <v>169</v>
      </c>
      <c r="C757" s="177"/>
      <c r="D757" s="145"/>
      <c r="E757" s="144"/>
      <c r="F757" s="145"/>
      <c r="G757" s="120">
        <v>5200</v>
      </c>
      <c r="H757" s="120">
        <v>7888</v>
      </c>
      <c r="I757" s="121">
        <v>8000</v>
      </c>
      <c r="J757" s="120">
        <f>SUM('Budget Req-RO'!E54)</f>
        <v>12000</v>
      </c>
      <c r="K757" s="120">
        <v>12000</v>
      </c>
    </row>
    <row r="758" spans="1:11" x14ac:dyDescent="0.25">
      <c r="A758" s="138">
        <v>530.04999999999995</v>
      </c>
      <c r="B758" s="116" t="s">
        <v>20</v>
      </c>
      <c r="C758" s="177"/>
      <c r="D758" s="145"/>
      <c r="E758" s="144"/>
      <c r="F758" s="145"/>
      <c r="G758" s="120">
        <v>150</v>
      </c>
      <c r="H758" s="120">
        <v>0</v>
      </c>
      <c r="I758" s="121">
        <v>150</v>
      </c>
      <c r="J758" s="120">
        <v>150</v>
      </c>
      <c r="K758" s="120">
        <v>150</v>
      </c>
    </row>
    <row r="759" spans="1:11" x14ac:dyDescent="0.25">
      <c r="A759" s="138">
        <v>530.05999999999995</v>
      </c>
      <c r="B759" s="116" t="s">
        <v>702</v>
      </c>
      <c r="C759" s="177"/>
      <c r="D759" s="145"/>
      <c r="E759" s="144"/>
      <c r="F759" s="145"/>
      <c r="G759" s="120">
        <v>500</v>
      </c>
      <c r="H759" s="120">
        <v>0</v>
      </c>
      <c r="I759" s="121">
        <v>500</v>
      </c>
      <c r="J759" s="120">
        <v>500</v>
      </c>
      <c r="K759" s="120">
        <v>500</v>
      </c>
    </row>
    <row r="760" spans="1:11" x14ac:dyDescent="0.25">
      <c r="A760" s="138">
        <v>530.07000000000005</v>
      </c>
      <c r="B760" s="116" t="s">
        <v>548</v>
      </c>
      <c r="C760" s="177"/>
      <c r="D760" s="145"/>
      <c r="E760" s="144"/>
      <c r="F760" s="145"/>
      <c r="G760" s="120">
        <v>0</v>
      </c>
      <c r="H760" s="120">
        <v>0</v>
      </c>
      <c r="I760" s="121">
        <v>0</v>
      </c>
      <c r="J760" s="120">
        <v>0</v>
      </c>
      <c r="K760" s="120">
        <v>0</v>
      </c>
    </row>
    <row r="761" spans="1:11" x14ac:dyDescent="0.25">
      <c r="A761" s="138">
        <v>530.11</v>
      </c>
      <c r="B761" s="116" t="s">
        <v>2</v>
      </c>
      <c r="C761" s="144">
        <v>600</v>
      </c>
      <c r="D761" s="145">
        <v>787</v>
      </c>
      <c r="E761" s="144">
        <v>1180</v>
      </c>
      <c r="F761" s="156">
        <v>140000</v>
      </c>
      <c r="G761" s="120">
        <v>360000</v>
      </c>
      <c r="H761" s="120">
        <v>209848</v>
      </c>
      <c r="I761" s="121">
        <f>237598+(29000*3)</f>
        <v>324598</v>
      </c>
      <c r="J761" s="120">
        <f>SUM('Budget Req-RO'!E59)</f>
        <v>400000</v>
      </c>
      <c r="K761" s="120">
        <v>400000</v>
      </c>
    </row>
    <row r="762" spans="1:11" x14ac:dyDescent="0.25">
      <c r="A762" s="138">
        <v>530.13</v>
      </c>
      <c r="B762" s="116" t="s">
        <v>303</v>
      </c>
      <c r="C762" s="144">
        <v>600</v>
      </c>
      <c r="D762" s="145">
        <v>787</v>
      </c>
      <c r="E762" s="144">
        <v>1180</v>
      </c>
      <c r="F762" s="156">
        <v>140000</v>
      </c>
      <c r="G762" s="120">
        <v>5200</v>
      </c>
      <c r="H762" s="120">
        <f>1640+10750</f>
        <v>12390</v>
      </c>
      <c r="I762" s="121">
        <f>5577+1410+3000</f>
        <v>9987</v>
      </c>
      <c r="J762" s="120">
        <v>25000</v>
      </c>
      <c r="K762" s="120">
        <v>25000</v>
      </c>
    </row>
    <row r="763" spans="1:11" x14ac:dyDescent="0.25">
      <c r="A763" s="141">
        <v>530.20000000000005</v>
      </c>
      <c r="B763" s="125" t="s">
        <v>304</v>
      </c>
      <c r="C763" s="144">
        <v>150000</v>
      </c>
      <c r="D763" s="145">
        <v>101823</v>
      </c>
      <c r="E763" s="144">
        <v>152735</v>
      </c>
      <c r="F763" s="145">
        <v>1900</v>
      </c>
      <c r="G763" s="129">
        <v>5100</v>
      </c>
      <c r="H763" s="129">
        <v>6303</v>
      </c>
      <c r="I763" s="129">
        <v>6500</v>
      </c>
      <c r="J763" s="129">
        <v>7000</v>
      </c>
      <c r="K763" s="129">
        <v>7000</v>
      </c>
    </row>
    <row r="764" spans="1:11" ht="18.75" thickBot="1" x14ac:dyDescent="0.3">
      <c r="A764" s="142" t="s">
        <v>167</v>
      </c>
      <c r="B764" s="148"/>
      <c r="C764" s="149"/>
      <c r="D764" s="150"/>
      <c r="E764" s="149"/>
      <c r="F764" s="150">
        <f t="shared" ref="F764:K764" si="85">SUM(F754:F763)</f>
        <v>283350</v>
      </c>
      <c r="G764" s="136">
        <f t="shared" si="85"/>
        <v>401320</v>
      </c>
      <c r="H764" s="136">
        <f t="shared" si="85"/>
        <v>240910</v>
      </c>
      <c r="I764" s="136">
        <f t="shared" si="85"/>
        <v>363605</v>
      </c>
      <c r="J764" s="136">
        <f t="shared" si="85"/>
        <v>470150</v>
      </c>
      <c r="K764" s="136">
        <f t="shared" si="85"/>
        <v>470150</v>
      </c>
    </row>
    <row r="765" spans="1:11" x14ac:dyDescent="0.25">
      <c r="A765" s="138">
        <v>540.01</v>
      </c>
      <c r="B765" s="116" t="s">
        <v>182</v>
      </c>
      <c r="C765" s="144">
        <v>160964</v>
      </c>
      <c r="D765" s="145">
        <v>107309</v>
      </c>
      <c r="E765" s="144">
        <v>160964</v>
      </c>
      <c r="F765" s="145">
        <v>0</v>
      </c>
      <c r="G765" s="120">
        <v>2000</v>
      </c>
      <c r="H765" s="120">
        <v>699</v>
      </c>
      <c r="I765" s="120">
        <v>2000</v>
      </c>
      <c r="J765" s="120">
        <f>SUM('Budget Req-RO'!E63)</f>
        <v>5000</v>
      </c>
      <c r="K765" s="120">
        <v>5000</v>
      </c>
    </row>
    <row r="766" spans="1:11" x14ac:dyDescent="0.25">
      <c r="A766" s="138">
        <v>540.04</v>
      </c>
      <c r="B766" s="116" t="s">
        <v>557</v>
      </c>
      <c r="C766" s="144"/>
      <c r="D766" s="145"/>
      <c r="E766" s="144"/>
      <c r="F766" s="145"/>
      <c r="G766" s="120">
        <v>25000</v>
      </c>
      <c r="H766" s="120">
        <v>36551</v>
      </c>
      <c r="I766" s="120">
        <v>38000</v>
      </c>
      <c r="J766" s="120">
        <v>50000</v>
      </c>
      <c r="K766" s="120">
        <v>50000</v>
      </c>
    </row>
    <row r="767" spans="1:11" x14ac:dyDescent="0.25">
      <c r="A767" s="141">
        <v>540.07000000000005</v>
      </c>
      <c r="B767" s="125" t="s">
        <v>703</v>
      </c>
      <c r="C767" s="144"/>
      <c r="D767" s="145"/>
      <c r="E767" s="144"/>
      <c r="F767" s="145"/>
      <c r="G767" s="129">
        <v>100</v>
      </c>
      <c r="H767" s="129">
        <v>11011</v>
      </c>
      <c r="I767" s="129">
        <v>11011</v>
      </c>
      <c r="J767" s="129">
        <v>10000</v>
      </c>
      <c r="K767" s="129">
        <v>10000</v>
      </c>
    </row>
    <row r="768" spans="1:11" ht="18.75" thickBot="1" x14ac:dyDescent="0.3">
      <c r="A768" s="142" t="s">
        <v>323</v>
      </c>
      <c r="B768" s="148"/>
      <c r="C768" s="149"/>
      <c r="D768" s="150"/>
      <c r="E768" s="149"/>
      <c r="F768" s="150">
        <f>SUM(F765)</f>
        <v>0</v>
      </c>
      <c r="G768" s="136">
        <f>SUM(G765:G767)</f>
        <v>27100</v>
      </c>
      <c r="H768" s="136">
        <f>SUM(H765:H767)</f>
        <v>48261</v>
      </c>
      <c r="I768" s="136">
        <f>SUM(I765:I767)</f>
        <v>51011</v>
      </c>
      <c r="J768" s="136">
        <f>SUM(J765:J767)</f>
        <v>65000</v>
      </c>
      <c r="K768" s="136">
        <f>SUM(K765:K767)</f>
        <v>65000</v>
      </c>
    </row>
    <row r="769" spans="1:11" x14ac:dyDescent="0.25">
      <c r="A769" s="138">
        <v>550.01</v>
      </c>
      <c r="B769" s="116" t="s">
        <v>203</v>
      </c>
      <c r="C769" s="144"/>
      <c r="D769" s="145"/>
      <c r="E769" s="144"/>
      <c r="F769" s="145"/>
      <c r="G769" s="120">
        <v>200</v>
      </c>
      <c r="H769" s="120">
        <v>0</v>
      </c>
      <c r="I769" s="120">
        <v>200</v>
      </c>
      <c r="J769" s="120">
        <v>500</v>
      </c>
      <c r="K769" s="120">
        <v>500</v>
      </c>
    </row>
    <row r="770" spans="1:11" x14ac:dyDescent="0.25">
      <c r="A770" s="138">
        <v>550.02</v>
      </c>
      <c r="B770" s="338" t="s">
        <v>573</v>
      </c>
      <c r="C770" s="144">
        <v>60000</v>
      </c>
      <c r="D770" s="145">
        <v>0</v>
      </c>
      <c r="E770" s="144">
        <v>0</v>
      </c>
      <c r="F770" s="145">
        <v>20000</v>
      </c>
      <c r="G770" s="120">
        <v>202000</v>
      </c>
      <c r="H770" s="120">
        <f>103656+49</f>
        <v>103705</v>
      </c>
      <c r="I770" s="120">
        <v>103762</v>
      </c>
      <c r="J770" s="120">
        <f>SUM('Budget Req-RO'!E69)</f>
        <v>250000</v>
      </c>
      <c r="K770" s="120">
        <v>250000</v>
      </c>
    </row>
    <row r="771" spans="1:11" x14ac:dyDescent="0.25">
      <c r="A771" s="138">
        <v>550.04</v>
      </c>
      <c r="B771" s="116" t="s">
        <v>205</v>
      </c>
      <c r="C771" s="144"/>
      <c r="D771" s="145"/>
      <c r="E771" s="144"/>
      <c r="F771" s="145"/>
      <c r="G771" s="120">
        <v>1200</v>
      </c>
      <c r="H771" s="120">
        <v>2288</v>
      </c>
      <c r="I771" s="120">
        <v>2300</v>
      </c>
      <c r="J771" s="253">
        <v>4500</v>
      </c>
      <c r="K771" s="120">
        <v>4500</v>
      </c>
    </row>
    <row r="772" spans="1:11" x14ac:dyDescent="0.25">
      <c r="A772" s="138">
        <v>550.05999999999995</v>
      </c>
      <c r="B772" s="116" t="s">
        <v>637</v>
      </c>
      <c r="C772" s="144"/>
      <c r="D772" s="145"/>
      <c r="E772" s="144"/>
      <c r="F772" s="145"/>
      <c r="G772" s="120">
        <v>500</v>
      </c>
      <c r="H772" s="120">
        <v>0</v>
      </c>
      <c r="I772" s="120">
        <v>0</v>
      </c>
      <c r="J772" s="120">
        <v>1000</v>
      </c>
      <c r="K772" s="120">
        <v>1000</v>
      </c>
    </row>
    <row r="773" spans="1:11" x14ac:dyDescent="0.25">
      <c r="A773" s="141">
        <v>550.09</v>
      </c>
      <c r="B773" s="125" t="s">
        <v>216</v>
      </c>
      <c r="C773" s="144">
        <v>0</v>
      </c>
      <c r="D773" s="145">
        <v>0</v>
      </c>
      <c r="E773" s="144">
        <v>0</v>
      </c>
      <c r="F773" s="145">
        <v>92000</v>
      </c>
      <c r="G773" s="129">
        <v>70000</v>
      </c>
      <c r="H773" s="129">
        <v>127405</v>
      </c>
      <c r="I773" s="147">
        <v>127405</v>
      </c>
      <c r="J773" s="269">
        <v>170000</v>
      </c>
      <c r="K773" s="129">
        <v>170000</v>
      </c>
    </row>
    <row r="774" spans="1:11" ht="18.75" thickBot="1" x14ac:dyDescent="0.3">
      <c r="A774" s="142" t="s">
        <v>324</v>
      </c>
      <c r="B774" s="148"/>
      <c r="C774" s="149"/>
      <c r="D774" s="150"/>
      <c r="E774" s="149"/>
      <c r="F774" s="150">
        <f>SUM(F770:F773)</f>
        <v>112000</v>
      </c>
      <c r="G774" s="136">
        <f>SUM(G769:G773)</f>
        <v>273900</v>
      </c>
      <c r="H774" s="136">
        <f>SUM(H769:H773)</f>
        <v>233398</v>
      </c>
      <c r="I774" s="136">
        <f>SUM(I769:I773)</f>
        <v>233667</v>
      </c>
      <c r="J774" s="136">
        <f>SUM(J769:J773)</f>
        <v>426000</v>
      </c>
      <c r="K774" s="136">
        <f>SUM(K769:K773)</f>
        <v>426000</v>
      </c>
    </row>
    <row r="775" spans="1:11" x14ac:dyDescent="0.25">
      <c r="A775" s="138">
        <v>560.02</v>
      </c>
      <c r="B775" s="116" t="s">
        <v>179</v>
      </c>
      <c r="C775" s="144"/>
      <c r="D775" s="145"/>
      <c r="E775" s="144"/>
      <c r="F775" s="145"/>
      <c r="G775" s="120">
        <v>400</v>
      </c>
      <c r="H775" s="120">
        <v>0</v>
      </c>
      <c r="I775" s="120">
        <v>400</v>
      </c>
      <c r="J775" s="253">
        <f>SUM('Budget Req-RO'!E75)</f>
        <v>500</v>
      </c>
      <c r="K775" s="120">
        <v>500</v>
      </c>
    </row>
    <row r="776" spans="1:11" x14ac:dyDescent="0.25">
      <c r="A776" s="138">
        <v>560.09</v>
      </c>
      <c r="B776" s="116" t="s">
        <v>496</v>
      </c>
      <c r="C776" s="144"/>
      <c r="D776" s="145"/>
      <c r="E776" s="144"/>
      <c r="F776" s="145"/>
      <c r="G776" s="120">
        <v>75</v>
      </c>
      <c r="H776" s="120">
        <v>0</v>
      </c>
      <c r="I776" s="120">
        <v>0</v>
      </c>
      <c r="J776" s="120">
        <v>200</v>
      </c>
      <c r="K776" s="120">
        <v>280</v>
      </c>
    </row>
    <row r="777" spans="1:11" x14ac:dyDescent="0.25">
      <c r="A777" s="141">
        <v>560.1</v>
      </c>
      <c r="B777" s="125" t="s">
        <v>180</v>
      </c>
      <c r="C777" s="144"/>
      <c r="D777" s="145"/>
      <c r="E777" s="144"/>
      <c r="F777" s="145"/>
      <c r="G777" s="129">
        <v>500</v>
      </c>
      <c r="H777" s="129">
        <v>400</v>
      </c>
      <c r="I777" s="129">
        <v>550</v>
      </c>
      <c r="J777" s="234">
        <f>SUM('Budget Req-RO'!E77)</f>
        <v>2000</v>
      </c>
      <c r="K777" s="129">
        <v>2000</v>
      </c>
    </row>
    <row r="778" spans="1:11" ht="18.75" thickBot="1" x14ac:dyDescent="0.3">
      <c r="A778" s="142" t="s">
        <v>178</v>
      </c>
      <c r="B778" s="148"/>
      <c r="C778" s="149"/>
      <c r="D778" s="150"/>
      <c r="E778" s="149"/>
      <c r="F778" s="150"/>
      <c r="G778" s="136">
        <f>SUM(G775:G777)</f>
        <v>975</v>
      </c>
      <c r="H778" s="136">
        <f>SUM(H775:H777)</f>
        <v>400</v>
      </c>
      <c r="I778" s="308">
        <f>SUM(I775:I777)</f>
        <v>950</v>
      </c>
      <c r="J778" s="136">
        <f>SUM(J775:J777)</f>
        <v>2700</v>
      </c>
      <c r="K778" s="136">
        <f>SUM(K775:K777)</f>
        <v>2780</v>
      </c>
    </row>
    <row r="779" spans="1:11" x14ac:dyDescent="0.25">
      <c r="A779" s="138">
        <v>580.01</v>
      </c>
      <c r="B779" s="116" t="s">
        <v>805</v>
      </c>
      <c r="C779" s="144"/>
      <c r="D779" s="145"/>
      <c r="E779" s="144"/>
      <c r="F779" s="145"/>
      <c r="G779" s="120">
        <v>5000</v>
      </c>
      <c r="H779" s="120">
        <v>0</v>
      </c>
      <c r="I779" s="120">
        <v>2500</v>
      </c>
      <c r="J779" s="253">
        <f>SUM('Budget Req-RO'!E79)</f>
        <v>10000</v>
      </c>
      <c r="K779" s="120">
        <v>10000</v>
      </c>
    </row>
    <row r="780" spans="1:11" x14ac:dyDescent="0.25">
      <c r="A780" s="138">
        <v>580.04</v>
      </c>
      <c r="B780" s="116" t="s">
        <v>305</v>
      </c>
      <c r="C780" s="144"/>
      <c r="D780" s="145"/>
      <c r="E780" s="144"/>
      <c r="F780" s="145"/>
      <c r="G780" s="120">
        <v>0</v>
      </c>
      <c r="H780" s="120"/>
      <c r="I780" s="120">
        <v>0</v>
      </c>
      <c r="J780" s="120">
        <v>0</v>
      </c>
      <c r="K780" s="120">
        <v>0</v>
      </c>
    </row>
    <row r="781" spans="1:11" x14ac:dyDescent="0.25">
      <c r="A781" s="141">
        <v>580.20000000000005</v>
      </c>
      <c r="B781" s="125" t="s">
        <v>811</v>
      </c>
      <c r="C781" s="144"/>
      <c r="D781" s="145"/>
      <c r="E781" s="144"/>
      <c r="F781" s="145"/>
      <c r="G781" s="129">
        <v>0</v>
      </c>
      <c r="H781" s="129"/>
      <c r="I781" s="129">
        <v>0</v>
      </c>
      <c r="J781" s="234">
        <f>SUM('Budget Req-RO'!E83)</f>
        <v>0</v>
      </c>
      <c r="K781" s="129">
        <v>0</v>
      </c>
    </row>
    <row r="782" spans="1:11" ht="18.75" thickBot="1" x14ac:dyDescent="0.3">
      <c r="A782" s="142" t="s">
        <v>558</v>
      </c>
      <c r="B782" s="148"/>
      <c r="C782" s="149"/>
      <c r="D782" s="150"/>
      <c r="E782" s="149"/>
      <c r="F782" s="150"/>
      <c r="G782" s="136">
        <f>SUM(G779:G781)</f>
        <v>5000</v>
      </c>
      <c r="H782" s="136">
        <f>SUM(H779:H781)</f>
        <v>0</v>
      </c>
      <c r="I782" s="136">
        <f>SUM(I779:I781)</f>
        <v>2500</v>
      </c>
      <c r="J782" s="136">
        <f>SUM(J779:J781)</f>
        <v>10000</v>
      </c>
      <c r="K782" s="136">
        <f>SUM(K779:K781)</f>
        <v>10000</v>
      </c>
    </row>
    <row r="783" spans="1:11" x14ac:dyDescent="0.25">
      <c r="A783" s="138">
        <v>590.01</v>
      </c>
      <c r="B783" s="116" t="s">
        <v>203</v>
      </c>
      <c r="C783" s="144"/>
      <c r="D783" s="145"/>
      <c r="E783" s="144"/>
      <c r="F783" s="145"/>
      <c r="G783" s="120">
        <v>1000</v>
      </c>
      <c r="H783" s="120">
        <v>346</v>
      </c>
      <c r="I783" s="120">
        <v>500</v>
      </c>
      <c r="J783" s="253">
        <f>SUM('Budget Req-RO'!E85)</f>
        <v>2000</v>
      </c>
      <c r="K783" s="120">
        <v>2000</v>
      </c>
    </row>
    <row r="784" spans="1:11" x14ac:dyDescent="0.25">
      <c r="A784" s="138">
        <v>590.02</v>
      </c>
      <c r="B784" s="116" t="s">
        <v>204</v>
      </c>
      <c r="C784" s="144"/>
      <c r="D784" s="145"/>
      <c r="E784" s="144"/>
      <c r="F784" s="145"/>
      <c r="G784" s="120">
        <v>1800</v>
      </c>
      <c r="H784" s="120">
        <v>1729</v>
      </c>
      <c r="I784" s="120">
        <v>1730</v>
      </c>
      <c r="J784" s="253">
        <f>SUM('Budget Req-RO'!E91)</f>
        <v>2000</v>
      </c>
      <c r="K784" s="120">
        <v>2000</v>
      </c>
    </row>
    <row r="785" spans="1:11" x14ac:dyDescent="0.25">
      <c r="A785" s="138">
        <v>590.03</v>
      </c>
      <c r="B785" s="116" t="s">
        <v>787</v>
      </c>
      <c r="C785" s="144"/>
      <c r="D785" s="145"/>
      <c r="E785" s="144"/>
      <c r="F785" s="145"/>
      <c r="G785" s="120">
        <v>0</v>
      </c>
      <c r="H785" s="120">
        <v>0</v>
      </c>
      <c r="I785" s="120">
        <v>0</v>
      </c>
      <c r="J785" s="253">
        <v>0</v>
      </c>
      <c r="K785" s="120">
        <v>0</v>
      </c>
    </row>
    <row r="786" spans="1:11" x14ac:dyDescent="0.25">
      <c r="A786" s="138">
        <v>590.04</v>
      </c>
      <c r="B786" s="116" t="s">
        <v>788</v>
      </c>
      <c r="C786" s="144"/>
      <c r="D786" s="145"/>
      <c r="E786" s="144"/>
      <c r="F786" s="145"/>
      <c r="G786" s="120">
        <v>7185</v>
      </c>
      <c r="H786" s="120">
        <v>7817</v>
      </c>
      <c r="I786" s="120">
        <v>7900</v>
      </c>
      <c r="J786" s="253">
        <v>9000</v>
      </c>
      <c r="K786" s="120">
        <v>9000</v>
      </c>
    </row>
    <row r="787" spans="1:11" x14ac:dyDescent="0.25">
      <c r="A787" s="284">
        <v>590.05999999999995</v>
      </c>
      <c r="B787" s="285" t="s">
        <v>227</v>
      </c>
      <c r="C787" s="178"/>
      <c r="D787" s="156"/>
      <c r="E787" s="178"/>
      <c r="F787" s="156"/>
      <c r="G787" s="147">
        <v>0</v>
      </c>
      <c r="H787" s="147">
        <v>292</v>
      </c>
      <c r="I787" s="147">
        <v>300</v>
      </c>
      <c r="J787" s="269">
        <v>1000</v>
      </c>
      <c r="K787" s="147">
        <v>1000</v>
      </c>
    </row>
    <row r="788" spans="1:11" ht="18.75" thickBot="1" x14ac:dyDescent="0.3">
      <c r="A788" s="287" t="s">
        <v>559</v>
      </c>
      <c r="B788" s="288"/>
      <c r="C788" s="277"/>
      <c r="D788" s="278"/>
      <c r="E788" s="277"/>
      <c r="F788" s="278"/>
      <c r="G788" s="182">
        <f>SUM(G783:G787)</f>
        <v>9985</v>
      </c>
      <c r="H788" s="182">
        <f>SUM(H783:H787)</f>
        <v>10184</v>
      </c>
      <c r="I788" s="182">
        <f t="shared" ref="I788:J788" si="86">SUM(I783:I787)</f>
        <v>10430</v>
      </c>
      <c r="J788" s="182">
        <f t="shared" si="86"/>
        <v>14000</v>
      </c>
      <c r="K788" s="182">
        <f>SUM(K783:K787)</f>
        <v>14000</v>
      </c>
    </row>
    <row r="789" spans="1:11" x14ac:dyDescent="0.25">
      <c r="A789" s="459">
        <v>610.11</v>
      </c>
      <c r="B789" s="159" t="s">
        <v>1083</v>
      </c>
      <c r="C789" s="178"/>
      <c r="D789" s="156"/>
      <c r="E789" s="178"/>
      <c r="F789" s="156">
        <v>364510</v>
      </c>
      <c r="G789" s="121">
        <v>0</v>
      </c>
      <c r="H789" s="121">
        <v>0</v>
      </c>
      <c r="I789" s="121">
        <v>0</v>
      </c>
      <c r="J789" s="121">
        <v>0</v>
      </c>
      <c r="K789" s="121">
        <v>700000</v>
      </c>
    </row>
    <row r="790" spans="1:11" x14ac:dyDescent="0.25">
      <c r="A790" s="284">
        <v>620.04999999999995</v>
      </c>
      <c r="B790" s="285" t="s">
        <v>3</v>
      </c>
      <c r="C790" s="178"/>
      <c r="D790" s="156"/>
      <c r="E790" s="178"/>
      <c r="F790" s="156">
        <v>193161</v>
      </c>
      <c r="G790" s="147">
        <v>120000</v>
      </c>
      <c r="H790" s="147">
        <v>90000</v>
      </c>
      <c r="I790" s="147">
        <v>120000</v>
      </c>
      <c r="J790" s="147">
        <f>SUM('Budget Req-RO'!E99)</f>
        <v>300000</v>
      </c>
      <c r="K790" s="147">
        <v>287500</v>
      </c>
    </row>
    <row r="791" spans="1:11" ht="18.75" thickBot="1" x14ac:dyDescent="0.3">
      <c r="A791" s="291" t="s">
        <v>325</v>
      </c>
      <c r="B791" s="292"/>
      <c r="C791" s="178"/>
      <c r="D791" s="156"/>
      <c r="E791" s="178"/>
      <c r="F791" s="156">
        <f t="shared" ref="F791:K791" si="87">SUM(F789:F790)</f>
        <v>557671</v>
      </c>
      <c r="G791" s="112">
        <f t="shared" si="87"/>
        <v>120000</v>
      </c>
      <c r="H791" s="112">
        <f t="shared" si="87"/>
        <v>90000</v>
      </c>
      <c r="I791" s="112">
        <f t="shared" si="87"/>
        <v>120000</v>
      </c>
      <c r="J791" s="112">
        <f t="shared" si="87"/>
        <v>300000</v>
      </c>
      <c r="K791" s="112">
        <f t="shared" si="87"/>
        <v>987500</v>
      </c>
    </row>
    <row r="792" spans="1:11" ht="18.75" thickBot="1" x14ac:dyDescent="0.3">
      <c r="A792" s="524" t="s">
        <v>4</v>
      </c>
      <c r="B792" s="525"/>
      <c r="C792" s="445">
        <f>SUM(C735:C773)</f>
        <v>698754</v>
      </c>
      <c r="D792" s="446">
        <f>SUM(D735:D773)</f>
        <v>431061</v>
      </c>
      <c r="E792" s="446">
        <f>SUM(E735:E773)</f>
        <v>646591</v>
      </c>
      <c r="F792" s="446">
        <f>SUM(F743+F764+F768+F774+F791)</f>
        <v>953021</v>
      </c>
      <c r="G792" s="447">
        <f>SUM(G743+G753+G764+G768+G774+G778+G782+G788+G791)</f>
        <v>1092217</v>
      </c>
      <c r="H792" s="447">
        <f>SUM(H743+H753+H764+H768+H774+H778+H782+H788+H791)</f>
        <v>792390</v>
      </c>
      <c r="I792" s="447">
        <f>SUM(I743+I753+I764+I768+I774+I778+I782+I788+I791)</f>
        <v>1020922.6552</v>
      </c>
      <c r="J792" s="447">
        <f>SUM(J743+J753+J764+J768+J774+J778+J782+J788+J791)</f>
        <v>1574484.6483199999</v>
      </c>
      <c r="K792" s="447">
        <f>SUM(K743+K753+K764+K768+K774+K778+K782+K788+K791)</f>
        <v>2306131</v>
      </c>
    </row>
    <row r="793" spans="1:11" x14ac:dyDescent="0.25">
      <c r="A793" s="228"/>
      <c r="B793" s="228"/>
      <c r="C793" s="228"/>
      <c r="D793" s="228"/>
      <c r="E793" s="228"/>
      <c r="F793" s="228"/>
      <c r="G793" s="310"/>
      <c r="H793" s="310"/>
      <c r="I793" s="310"/>
      <c r="J793" s="310"/>
      <c r="K793" s="228"/>
    </row>
    <row r="794" spans="1:11" x14ac:dyDescent="0.25">
      <c r="A794" s="517" t="s">
        <v>15</v>
      </c>
      <c r="B794" s="518"/>
      <c r="C794" s="352"/>
      <c r="D794" s="352"/>
      <c r="E794" s="352"/>
      <c r="F794" s="353"/>
      <c r="G794" s="99"/>
      <c r="H794" s="100"/>
      <c r="I794" s="101" t="str">
        <f>+I2</f>
        <v xml:space="preserve"> Estimated</v>
      </c>
      <c r="J794" s="101" t="s">
        <v>1093</v>
      </c>
      <c r="K794" s="101" t="s">
        <v>1077</v>
      </c>
    </row>
    <row r="795" spans="1:11" x14ac:dyDescent="0.25">
      <c r="A795" s="349" t="s">
        <v>560</v>
      </c>
      <c r="B795" s="107"/>
      <c r="C795" s="330" t="s">
        <v>27</v>
      </c>
      <c r="D795" s="330" t="s">
        <v>30</v>
      </c>
      <c r="E795" s="330" t="s">
        <v>29</v>
      </c>
      <c r="F795" s="330" t="s">
        <v>405</v>
      </c>
      <c r="G795" s="105" t="str">
        <f>+G3</f>
        <v>Budget 2016-17</v>
      </c>
      <c r="H795" s="105" t="str">
        <f>+H3</f>
        <v>Actual 5/31/17</v>
      </c>
      <c r="I795" s="106">
        <f>+I3</f>
        <v>43008</v>
      </c>
      <c r="J795" s="105" t="str">
        <f>+J3</f>
        <v>Budget 2017-18</v>
      </c>
      <c r="K795" s="105" t="s">
        <v>1076</v>
      </c>
    </row>
    <row r="796" spans="1:11" x14ac:dyDescent="0.25">
      <c r="A796" s="356" t="s">
        <v>561</v>
      </c>
      <c r="B796" s="439" t="s">
        <v>5</v>
      </c>
      <c r="C796" s="228"/>
      <c r="D796" s="228"/>
      <c r="E796" s="228"/>
      <c r="F796" s="228"/>
      <c r="G796" s="112">
        <v>530094</v>
      </c>
      <c r="H796" s="358">
        <v>322077</v>
      </c>
      <c r="I796" s="358">
        <f>+H796+(35000*4)</f>
        <v>462077</v>
      </c>
      <c r="J796" s="112">
        <f>'Personnel Sched-W&amp;S O&amp;M '!J40*1.02</f>
        <v>487826.55999999994</v>
      </c>
      <c r="K796" s="112">
        <v>487827</v>
      </c>
    </row>
    <row r="797" spans="1:11" x14ac:dyDescent="0.25">
      <c r="A797" s="459">
        <v>510.03</v>
      </c>
      <c r="B797" s="159" t="s">
        <v>155</v>
      </c>
      <c r="C797" s="228"/>
      <c r="D797" s="228"/>
      <c r="E797" s="228"/>
      <c r="F797" s="228"/>
      <c r="G797" s="268">
        <v>7000</v>
      </c>
      <c r="H797" s="268">
        <v>59578</v>
      </c>
      <c r="I797" s="268">
        <v>106393</v>
      </c>
      <c r="J797" s="121">
        <f>SUM('Bud Req-W&amp;S O&amp;M'!E13)</f>
        <v>8200</v>
      </c>
      <c r="K797" s="121">
        <v>158200</v>
      </c>
    </row>
    <row r="798" spans="1:11" x14ac:dyDescent="0.25">
      <c r="A798" s="158">
        <v>510.05</v>
      </c>
      <c r="B798" s="159" t="s">
        <v>194</v>
      </c>
      <c r="C798" s="228"/>
      <c r="D798" s="228"/>
      <c r="E798" s="228"/>
      <c r="F798" s="228"/>
      <c r="G798" s="268">
        <v>92493</v>
      </c>
      <c r="H798" s="268">
        <v>52363</v>
      </c>
      <c r="I798" s="268">
        <f>+H798+40000</f>
        <v>92363</v>
      </c>
      <c r="J798" s="121">
        <f>SUM('Bud Req-W&amp;S O&amp;M'!E20)</f>
        <v>102428.56</v>
      </c>
      <c r="K798" s="121">
        <v>102429</v>
      </c>
    </row>
    <row r="799" spans="1:11" x14ac:dyDescent="0.25">
      <c r="A799" s="158">
        <v>510.06</v>
      </c>
      <c r="B799" s="159" t="s">
        <v>19</v>
      </c>
      <c r="C799" s="228"/>
      <c r="D799" s="228"/>
      <c r="E799" s="228"/>
      <c r="F799" s="228"/>
      <c r="G799" s="268">
        <v>41365</v>
      </c>
      <c r="H799" s="268">
        <v>23444</v>
      </c>
      <c r="I799" s="268">
        <f>+I796*0.08</f>
        <v>36966.160000000003</v>
      </c>
      <c r="J799" s="121">
        <f>SUM('Bud Req-W&amp;S O&amp;M'!E22)</f>
        <v>36586.991999999991</v>
      </c>
      <c r="K799" s="121">
        <v>36587</v>
      </c>
    </row>
    <row r="800" spans="1:11" x14ac:dyDescent="0.25">
      <c r="A800" s="158">
        <v>510.07</v>
      </c>
      <c r="B800" s="159" t="s">
        <v>158</v>
      </c>
      <c r="C800" s="228"/>
      <c r="D800" s="228"/>
      <c r="E800" s="228"/>
      <c r="F800" s="228"/>
      <c r="G800" s="268">
        <v>27522</v>
      </c>
      <c r="H800" s="268">
        <v>13249</v>
      </c>
      <c r="I800" s="268">
        <f>+I796*0.0502</f>
        <v>23196.2654</v>
      </c>
      <c r="J800" s="121">
        <f>SUM('Bud Req-W&amp;S O&amp;M'!E24)</f>
        <v>24008.71893333333</v>
      </c>
      <c r="K800" s="121">
        <v>24830</v>
      </c>
    </row>
    <row r="801" spans="1:11" x14ac:dyDescent="0.25">
      <c r="A801" s="158">
        <v>510.08</v>
      </c>
      <c r="B801" s="159" t="s">
        <v>326</v>
      </c>
      <c r="C801" s="228"/>
      <c r="D801" s="228"/>
      <c r="E801" s="228"/>
      <c r="F801" s="228"/>
      <c r="G801" s="268">
        <v>13129</v>
      </c>
      <c r="H801" s="268">
        <v>8598</v>
      </c>
      <c r="I801" s="268">
        <v>13129</v>
      </c>
      <c r="J801" s="121">
        <f>SUM('Bud Req-W&amp;S O&amp;M'!E28)</f>
        <v>13129.024999999998</v>
      </c>
      <c r="K801" s="121">
        <v>13129</v>
      </c>
    </row>
    <row r="802" spans="1:11" x14ac:dyDescent="0.25">
      <c r="A802" s="158">
        <v>510.09</v>
      </c>
      <c r="B802" s="159" t="s">
        <v>690</v>
      </c>
      <c r="C802" s="228"/>
      <c r="D802" s="228"/>
      <c r="E802" s="228"/>
      <c r="F802" s="228"/>
      <c r="G802" s="268">
        <v>8000</v>
      </c>
      <c r="H802" s="268">
        <v>0</v>
      </c>
      <c r="I802" s="268">
        <f>8000-1200</f>
        <v>6800</v>
      </c>
      <c r="J802" s="121">
        <f>SUM('Bud Req-W&amp;S O&amp;M'!E33)+(+J796*0.01)</f>
        <v>11878.265599999999</v>
      </c>
      <c r="K802" s="121">
        <v>7878</v>
      </c>
    </row>
    <row r="803" spans="1:11" x14ac:dyDescent="0.25">
      <c r="A803" s="158">
        <v>510.11</v>
      </c>
      <c r="B803" s="159" t="s">
        <v>236</v>
      </c>
      <c r="C803" s="228"/>
      <c r="D803" s="228"/>
      <c r="E803" s="228"/>
      <c r="F803" s="228"/>
      <c r="G803" s="268">
        <v>0</v>
      </c>
      <c r="H803" s="268">
        <v>1200</v>
      </c>
      <c r="I803" s="268">
        <v>1200</v>
      </c>
      <c r="J803" s="121">
        <v>0</v>
      </c>
      <c r="K803" s="121">
        <v>0</v>
      </c>
    </row>
    <row r="804" spans="1:11" x14ac:dyDescent="0.25">
      <c r="A804" s="284">
        <v>510.12</v>
      </c>
      <c r="B804" s="285" t="s">
        <v>536</v>
      </c>
      <c r="C804" s="228"/>
      <c r="D804" s="228"/>
      <c r="E804" s="228"/>
      <c r="F804" s="228"/>
      <c r="G804" s="269">
        <v>4500</v>
      </c>
      <c r="H804" s="269">
        <v>0</v>
      </c>
      <c r="I804" s="269">
        <v>4500</v>
      </c>
      <c r="J804" s="147">
        <f>SUM('Bud Req-W&amp;S O&amp;M'!E35)</f>
        <v>1650</v>
      </c>
      <c r="K804" s="147">
        <v>8400</v>
      </c>
    </row>
    <row r="805" spans="1:11" ht="18.75" thickBot="1" x14ac:dyDescent="0.3">
      <c r="A805" s="506" t="s">
        <v>210</v>
      </c>
      <c r="B805" s="288"/>
      <c r="C805" s="457"/>
      <c r="D805" s="457"/>
      <c r="E805" s="457"/>
      <c r="F805" s="457"/>
      <c r="G805" s="361">
        <f>SUM(G796:G804)</f>
        <v>724103</v>
      </c>
      <c r="H805" s="361">
        <f>SUM(H796:H804)</f>
        <v>480509</v>
      </c>
      <c r="I805" s="361">
        <f>SUM(I796:I804)</f>
        <v>746624.42540000007</v>
      </c>
      <c r="J805" s="361">
        <f>SUM(J796:J804)</f>
        <v>685708.12153333321</v>
      </c>
      <c r="K805" s="182">
        <f>SUM(K796:K804)</f>
        <v>839280</v>
      </c>
    </row>
    <row r="806" spans="1:11" x14ac:dyDescent="0.25">
      <c r="A806" s="158">
        <v>520.01</v>
      </c>
      <c r="B806" s="159" t="s">
        <v>161</v>
      </c>
      <c r="C806" s="228"/>
      <c r="D806" s="228"/>
      <c r="E806" s="228"/>
      <c r="F806" s="228"/>
      <c r="G806" s="268">
        <v>2500</v>
      </c>
      <c r="H806" s="268">
        <v>2370</v>
      </c>
      <c r="I806" s="268">
        <v>2500</v>
      </c>
      <c r="J806" s="268">
        <v>2500</v>
      </c>
      <c r="K806" s="121">
        <v>2500</v>
      </c>
    </row>
    <row r="807" spans="1:11" x14ac:dyDescent="0.25">
      <c r="A807" s="158">
        <v>520.03</v>
      </c>
      <c r="B807" s="159" t="s">
        <v>902</v>
      </c>
      <c r="C807" s="228"/>
      <c r="D807" s="228"/>
      <c r="E807" s="228"/>
      <c r="F807" s="228"/>
      <c r="G807" s="268">
        <v>0</v>
      </c>
      <c r="H807" s="268">
        <v>316</v>
      </c>
      <c r="I807" s="268">
        <v>500</v>
      </c>
      <c r="J807" s="268">
        <v>500</v>
      </c>
      <c r="K807" s="121">
        <v>500</v>
      </c>
    </row>
    <row r="808" spans="1:11" x14ac:dyDescent="0.25">
      <c r="A808" s="158">
        <v>520.04</v>
      </c>
      <c r="B808" s="159" t="s">
        <v>543</v>
      </c>
      <c r="C808" s="228"/>
      <c r="D808" s="228"/>
      <c r="E808" s="228"/>
      <c r="F808" s="228"/>
      <c r="G808" s="268">
        <v>18540</v>
      </c>
      <c r="H808" s="268">
        <v>9948</v>
      </c>
      <c r="I808" s="268">
        <v>18540</v>
      </c>
      <c r="J808" s="121">
        <f>SUM('Bud Req-W&amp;S O&amp;M'!E39)</f>
        <v>20000</v>
      </c>
      <c r="K808" s="121">
        <v>20000</v>
      </c>
    </row>
    <row r="809" spans="1:11" x14ac:dyDescent="0.25">
      <c r="A809" s="158">
        <v>520.05999999999995</v>
      </c>
      <c r="B809" s="159" t="s">
        <v>231</v>
      </c>
      <c r="C809" s="228"/>
      <c r="D809" s="228"/>
      <c r="E809" s="228"/>
      <c r="F809" s="228"/>
      <c r="G809" s="268">
        <v>10500</v>
      </c>
      <c r="H809" s="268">
        <v>7100</v>
      </c>
      <c r="I809" s="268">
        <v>12000</v>
      </c>
      <c r="J809" s="268">
        <v>12000</v>
      </c>
      <c r="K809" s="121">
        <v>12000</v>
      </c>
    </row>
    <row r="810" spans="1:11" x14ac:dyDescent="0.25">
      <c r="A810" s="158">
        <v>520.07000000000005</v>
      </c>
      <c r="B810" s="159" t="s">
        <v>544</v>
      </c>
      <c r="C810" s="98"/>
      <c r="D810" s="98"/>
      <c r="E810" s="98"/>
      <c r="F810" s="98"/>
      <c r="G810" s="253">
        <v>10000</v>
      </c>
      <c r="H810" s="253">
        <v>14322</v>
      </c>
      <c r="I810" s="253">
        <v>14500</v>
      </c>
      <c r="J810" s="253">
        <v>10000</v>
      </c>
      <c r="K810" s="120">
        <v>10000</v>
      </c>
    </row>
    <row r="811" spans="1:11" x14ac:dyDescent="0.25">
      <c r="A811" s="158">
        <v>520.08000000000004</v>
      </c>
      <c r="B811" s="159" t="s">
        <v>545</v>
      </c>
      <c r="C811" s="98"/>
      <c r="D811" s="98"/>
      <c r="E811" s="98"/>
      <c r="F811" s="98"/>
      <c r="G811" s="253">
        <v>800</v>
      </c>
      <c r="H811" s="253">
        <v>397</v>
      </c>
      <c r="I811" s="253">
        <v>800</v>
      </c>
      <c r="J811" s="253">
        <v>800</v>
      </c>
      <c r="K811" s="120">
        <v>800</v>
      </c>
    </row>
    <row r="812" spans="1:11" x14ac:dyDescent="0.25">
      <c r="A812" s="158">
        <v>520.09</v>
      </c>
      <c r="B812" s="159" t="s">
        <v>212</v>
      </c>
      <c r="C812" s="98"/>
      <c r="D812" s="98"/>
      <c r="E812" s="98"/>
      <c r="F812" s="98"/>
      <c r="G812" s="253">
        <v>5000</v>
      </c>
      <c r="H812" s="253">
        <v>2998</v>
      </c>
      <c r="I812" s="253">
        <v>5000</v>
      </c>
      <c r="J812" s="253">
        <v>5000</v>
      </c>
      <c r="K812" s="120">
        <v>5000</v>
      </c>
    </row>
    <row r="813" spans="1:11" x14ac:dyDescent="0.25">
      <c r="A813" s="138">
        <v>520.1</v>
      </c>
      <c r="B813" s="116" t="s">
        <v>216</v>
      </c>
      <c r="C813" s="98"/>
      <c r="D813" s="98"/>
      <c r="E813" s="98"/>
      <c r="F813" s="98"/>
      <c r="G813" s="253">
        <v>500</v>
      </c>
      <c r="H813" s="253">
        <v>78</v>
      </c>
      <c r="I813" s="253">
        <v>200</v>
      </c>
      <c r="J813" s="253">
        <v>200</v>
      </c>
      <c r="K813" s="120">
        <v>200</v>
      </c>
    </row>
    <row r="814" spans="1:11" x14ac:dyDescent="0.25">
      <c r="A814" s="141">
        <v>520.12</v>
      </c>
      <c r="B814" s="125" t="s">
        <v>237</v>
      </c>
      <c r="C814" s="98"/>
      <c r="D814" s="98"/>
      <c r="E814" s="98"/>
      <c r="F814" s="98"/>
      <c r="G814" s="234">
        <v>3500</v>
      </c>
      <c r="H814" s="234">
        <v>4223</v>
      </c>
      <c r="I814" s="234">
        <v>6000</v>
      </c>
      <c r="J814" s="234">
        <v>6000</v>
      </c>
      <c r="K814" s="129">
        <v>6000</v>
      </c>
    </row>
    <row r="815" spans="1:11" ht="18.75" thickBot="1" x14ac:dyDescent="0.3">
      <c r="A815" s="142" t="s">
        <v>166</v>
      </c>
      <c r="B815" s="148"/>
      <c r="C815" s="181"/>
      <c r="D815" s="181"/>
      <c r="E815" s="181"/>
      <c r="F815" s="181"/>
      <c r="G815" s="260">
        <f>SUM(G806:G814)</f>
        <v>51340</v>
      </c>
      <c r="H815" s="260">
        <f>SUM(H806:H814)</f>
        <v>41752</v>
      </c>
      <c r="I815" s="260">
        <f>SUM(I806:I814)</f>
        <v>60040</v>
      </c>
      <c r="J815" s="260">
        <f>SUM(J806:J814)</f>
        <v>57000</v>
      </c>
      <c r="K815" s="136">
        <f>SUM(K806:K814)</f>
        <v>57000</v>
      </c>
    </row>
    <row r="816" spans="1:11" x14ac:dyDescent="0.25">
      <c r="A816" s="138">
        <v>530.01</v>
      </c>
      <c r="B816" s="116" t="s">
        <v>201</v>
      </c>
      <c r="C816" s="98"/>
      <c r="D816" s="98"/>
      <c r="E816" s="98"/>
      <c r="F816" s="98"/>
      <c r="G816" s="253">
        <v>20040</v>
      </c>
      <c r="H816" s="253">
        <v>13904</v>
      </c>
      <c r="I816" s="253">
        <v>21000</v>
      </c>
      <c r="J816" s="120">
        <f>SUM('Bud Req-W&amp;S O&amp;M'!E46)</f>
        <v>16000</v>
      </c>
      <c r="K816" s="120">
        <v>16000</v>
      </c>
    </row>
    <row r="817" spans="1:11" x14ac:dyDescent="0.25">
      <c r="A817" s="138">
        <v>530.02</v>
      </c>
      <c r="B817" s="116" t="s">
        <v>546</v>
      </c>
      <c r="C817" s="98"/>
      <c r="D817" s="98"/>
      <c r="E817" s="98"/>
      <c r="F817" s="98"/>
      <c r="G817" s="253">
        <v>2000</v>
      </c>
      <c r="H817" s="253">
        <v>934</v>
      </c>
      <c r="I817" s="253">
        <v>2000</v>
      </c>
      <c r="J817" s="120">
        <f>SUM('Bud Req-W&amp;S O&amp;M'!E50)</f>
        <v>3500</v>
      </c>
      <c r="K817" s="120">
        <v>3500</v>
      </c>
    </row>
    <row r="818" spans="1:11" x14ac:dyDescent="0.25">
      <c r="A818" s="138">
        <v>530.03</v>
      </c>
      <c r="B818" s="116" t="s">
        <v>605</v>
      </c>
      <c r="C818" s="98"/>
      <c r="D818" s="98"/>
      <c r="E818" s="98"/>
      <c r="F818" s="98"/>
      <c r="G818" s="253">
        <v>0</v>
      </c>
      <c r="H818" s="253">
        <v>200</v>
      </c>
      <c r="I818" s="253">
        <v>200</v>
      </c>
      <c r="J818" s="120">
        <v>0</v>
      </c>
      <c r="K818" s="120">
        <v>0</v>
      </c>
    </row>
    <row r="819" spans="1:11" x14ac:dyDescent="0.25">
      <c r="A819" s="138">
        <v>530.04</v>
      </c>
      <c r="B819" s="116" t="s">
        <v>169</v>
      </c>
      <c r="C819" s="98"/>
      <c r="D819" s="98"/>
      <c r="E819" s="98"/>
      <c r="F819" s="98"/>
      <c r="G819" s="253">
        <v>3000</v>
      </c>
      <c r="H819" s="253">
        <v>2710</v>
      </c>
      <c r="I819" s="253">
        <v>3000</v>
      </c>
      <c r="J819" s="120">
        <f>SUM('Bud Req-W&amp;S O&amp;M'!E52)</f>
        <v>3500</v>
      </c>
      <c r="K819" s="120">
        <v>3500</v>
      </c>
    </row>
    <row r="820" spans="1:11" x14ac:dyDescent="0.25">
      <c r="A820" s="116">
        <v>530.04999999999995</v>
      </c>
      <c r="B820" s="138" t="s">
        <v>20</v>
      </c>
      <c r="C820" s="98" t="s">
        <v>20</v>
      </c>
      <c r="D820" s="98"/>
      <c r="E820" s="98"/>
      <c r="F820" s="98"/>
      <c r="G820" s="120">
        <v>600</v>
      </c>
      <c r="H820" s="253">
        <v>7</v>
      </c>
      <c r="I820" s="253">
        <v>200</v>
      </c>
      <c r="J820" s="253">
        <v>300</v>
      </c>
      <c r="K820" s="253">
        <v>300</v>
      </c>
    </row>
    <row r="821" spans="1:11" x14ac:dyDescent="0.25">
      <c r="A821" s="138">
        <v>530.05999999999995</v>
      </c>
      <c r="B821" s="116" t="s">
        <v>547</v>
      </c>
      <c r="C821" s="98"/>
      <c r="D821" s="98"/>
      <c r="E821" s="98"/>
      <c r="F821" s="98"/>
      <c r="G821" s="253">
        <v>1000</v>
      </c>
      <c r="H821" s="253">
        <v>1605</v>
      </c>
      <c r="I821" s="253">
        <v>1605</v>
      </c>
      <c r="J821" s="120">
        <f>SUM('Bud Req-W&amp;S O&amp;M'!E54)</f>
        <v>2000</v>
      </c>
      <c r="K821" s="120">
        <v>2000</v>
      </c>
    </row>
    <row r="822" spans="1:11" x14ac:dyDescent="0.25">
      <c r="A822" s="138">
        <v>530.07000000000005</v>
      </c>
      <c r="B822" s="116" t="s">
        <v>548</v>
      </c>
      <c r="C822" s="98"/>
      <c r="D822" s="98"/>
      <c r="E822" s="98"/>
      <c r="F822" s="98"/>
      <c r="G822" s="253">
        <v>0</v>
      </c>
      <c r="H822" s="253">
        <v>0</v>
      </c>
      <c r="I822" s="319">
        <v>0</v>
      </c>
      <c r="J822" s="268">
        <v>0</v>
      </c>
      <c r="K822" s="120">
        <v>0</v>
      </c>
    </row>
    <row r="823" spans="1:11" x14ac:dyDescent="0.25">
      <c r="A823" s="138">
        <v>530.11</v>
      </c>
      <c r="B823" s="116" t="s">
        <v>2</v>
      </c>
      <c r="C823" s="98"/>
      <c r="D823" s="98"/>
      <c r="E823" s="98"/>
      <c r="F823" s="98"/>
      <c r="G823" s="253">
        <v>23000</v>
      </c>
      <c r="H823" s="253">
        <v>15610</v>
      </c>
      <c r="I823" s="253">
        <v>25370</v>
      </c>
      <c r="J823" s="120">
        <f>SUM('Bud Req-W&amp;S O&amp;M'!E56)</f>
        <v>24000</v>
      </c>
      <c r="K823" s="120">
        <v>24000</v>
      </c>
    </row>
    <row r="824" spans="1:11" x14ac:dyDescent="0.25">
      <c r="A824" s="138">
        <v>530.13</v>
      </c>
      <c r="B824" s="116" t="s">
        <v>303</v>
      </c>
      <c r="C824" s="98"/>
      <c r="D824" s="98"/>
      <c r="E824" s="98"/>
      <c r="F824" s="98"/>
      <c r="G824" s="253">
        <v>0</v>
      </c>
      <c r="H824" s="253">
        <v>1503</v>
      </c>
      <c r="I824" s="253">
        <v>1503</v>
      </c>
      <c r="J824" s="253">
        <v>3500</v>
      </c>
      <c r="K824" s="120">
        <v>3500</v>
      </c>
    </row>
    <row r="825" spans="1:11" x14ac:dyDescent="0.25">
      <c r="A825" s="284">
        <v>530.20000000000005</v>
      </c>
      <c r="B825" s="285" t="s">
        <v>304</v>
      </c>
      <c r="C825" s="98"/>
      <c r="D825" s="98"/>
      <c r="E825" s="98"/>
      <c r="F825" s="98"/>
      <c r="G825" s="234">
        <v>6000</v>
      </c>
      <c r="H825" s="234">
        <v>4329</v>
      </c>
      <c r="I825" s="234">
        <v>6000</v>
      </c>
      <c r="J825" s="129">
        <f>SUM('Bud Req-W&amp;S O&amp;M'!E60)</f>
        <v>5000</v>
      </c>
      <c r="K825" s="129">
        <v>5000</v>
      </c>
    </row>
    <row r="826" spans="1:11" ht="18.75" thickBot="1" x14ac:dyDescent="0.3">
      <c r="A826" s="287" t="s">
        <v>167</v>
      </c>
      <c r="B826" s="288"/>
      <c r="C826" s="181"/>
      <c r="D826" s="181"/>
      <c r="E826" s="181"/>
      <c r="F826" s="181"/>
      <c r="G826" s="260">
        <f>SUM(G816:G825)</f>
        <v>55640</v>
      </c>
      <c r="H826" s="260">
        <f>SUM(H816:H825)</f>
        <v>40802</v>
      </c>
      <c r="I826" s="260">
        <f>SUM(I816:I825)</f>
        <v>60878</v>
      </c>
      <c r="J826" s="260">
        <f>SUM(J816:J825)</f>
        <v>57800</v>
      </c>
      <c r="K826" s="136">
        <f>SUM(K816:K825)</f>
        <v>57800</v>
      </c>
    </row>
    <row r="827" spans="1:11" x14ac:dyDescent="0.25">
      <c r="A827" s="158">
        <v>540.01</v>
      </c>
      <c r="B827" s="159" t="s">
        <v>182</v>
      </c>
      <c r="C827" s="228"/>
      <c r="D827" s="228"/>
      <c r="E827" s="228"/>
      <c r="F827" s="228"/>
      <c r="G827" s="268">
        <v>3000</v>
      </c>
      <c r="H827" s="268">
        <v>1990</v>
      </c>
      <c r="I827" s="268">
        <v>3000</v>
      </c>
      <c r="J827" s="121">
        <f>SUM('Bud Req-W&amp;S O&amp;M'!E62)</f>
        <v>1500</v>
      </c>
      <c r="K827" s="121">
        <v>1500</v>
      </c>
    </row>
    <row r="828" spans="1:11" x14ac:dyDescent="0.25">
      <c r="A828" s="158">
        <v>540.02</v>
      </c>
      <c r="B828" s="159" t="s">
        <v>497</v>
      </c>
      <c r="C828" s="228"/>
      <c r="D828" s="228"/>
      <c r="E828" s="228"/>
      <c r="F828" s="228"/>
      <c r="G828" s="268">
        <v>0</v>
      </c>
      <c r="H828" s="268">
        <v>1517</v>
      </c>
      <c r="I828" s="268">
        <v>1517</v>
      </c>
      <c r="J828" s="268">
        <v>100</v>
      </c>
      <c r="K828" s="121">
        <v>100</v>
      </c>
    </row>
    <row r="829" spans="1:11" x14ac:dyDescent="0.25">
      <c r="A829" s="158">
        <v>540.04</v>
      </c>
      <c r="B829" s="159" t="s">
        <v>562</v>
      </c>
      <c r="C829" s="228"/>
      <c r="D829" s="228"/>
      <c r="E829" s="228"/>
      <c r="F829" s="228"/>
      <c r="G829" s="268">
        <v>170000</v>
      </c>
      <c r="H829" s="268">
        <v>102338</v>
      </c>
      <c r="I829" s="268">
        <v>155000</v>
      </c>
      <c r="J829" s="121">
        <f>SUM('Bud Req-W&amp;S O&amp;M'!E64)</f>
        <v>150000</v>
      </c>
      <c r="K829" s="121">
        <v>200000</v>
      </c>
    </row>
    <row r="830" spans="1:11" x14ac:dyDescent="0.25">
      <c r="A830" s="284">
        <v>540.07000000000005</v>
      </c>
      <c r="B830" s="285" t="s">
        <v>216</v>
      </c>
      <c r="C830" s="228"/>
      <c r="D830" s="228"/>
      <c r="E830" s="228"/>
      <c r="F830" s="228"/>
      <c r="G830" s="269">
        <v>0</v>
      </c>
      <c r="H830" s="269">
        <v>0</v>
      </c>
      <c r="I830" s="269">
        <v>0</v>
      </c>
      <c r="J830" s="269">
        <v>0</v>
      </c>
      <c r="K830" s="147">
        <v>0</v>
      </c>
    </row>
    <row r="831" spans="1:11" ht="18.75" thickBot="1" x14ac:dyDescent="0.3">
      <c r="A831" s="287" t="s">
        <v>254</v>
      </c>
      <c r="B831" s="288"/>
      <c r="C831" s="457"/>
      <c r="D831" s="457"/>
      <c r="E831" s="457"/>
      <c r="F831" s="457"/>
      <c r="G831" s="361">
        <f>SUM(G827:G830)</f>
        <v>173000</v>
      </c>
      <c r="H831" s="361">
        <f>SUM(H827:H830)</f>
        <v>105845</v>
      </c>
      <c r="I831" s="361">
        <f>SUM(I827:I830)</f>
        <v>159517</v>
      </c>
      <c r="J831" s="361">
        <f>SUM(J827:J830)</f>
        <v>151600</v>
      </c>
      <c r="K831" s="182">
        <f>SUM(K827:K830)</f>
        <v>201600</v>
      </c>
    </row>
    <row r="832" spans="1:11" x14ac:dyDescent="0.25">
      <c r="A832" s="158">
        <v>550.01</v>
      </c>
      <c r="B832" s="159" t="s">
        <v>203</v>
      </c>
      <c r="C832" s="228"/>
      <c r="D832" s="228"/>
      <c r="E832" s="228"/>
      <c r="F832" s="228"/>
      <c r="G832" s="268">
        <v>800</v>
      </c>
      <c r="H832" s="268">
        <v>15</v>
      </c>
      <c r="I832" s="268">
        <v>200</v>
      </c>
      <c r="J832" s="268">
        <v>500</v>
      </c>
      <c r="K832" s="121">
        <v>500</v>
      </c>
    </row>
    <row r="833" spans="1:11" x14ac:dyDescent="0.25">
      <c r="A833" s="158">
        <v>550.03</v>
      </c>
      <c r="B833" s="159" t="s">
        <v>549</v>
      </c>
      <c r="C833" s="228"/>
      <c r="D833" s="228"/>
      <c r="E833" s="228"/>
      <c r="F833" s="228"/>
      <c r="G833" s="268">
        <v>12500</v>
      </c>
      <c r="H833" s="268">
        <v>15662</v>
      </c>
      <c r="I833" s="268">
        <v>16000</v>
      </c>
      <c r="J833" s="121">
        <f>SUM('Bud Req-W&amp;S O&amp;M'!E66)</f>
        <v>12000</v>
      </c>
      <c r="K833" s="121">
        <v>12000</v>
      </c>
    </row>
    <row r="834" spans="1:11" x14ac:dyDescent="0.25">
      <c r="A834" s="158">
        <v>550.04</v>
      </c>
      <c r="B834" s="159" t="s">
        <v>877</v>
      </c>
      <c r="C834" s="228"/>
      <c r="D834" s="228"/>
      <c r="E834" s="228"/>
      <c r="F834" s="228"/>
      <c r="G834" s="268">
        <v>12000</v>
      </c>
      <c r="H834" s="268">
        <v>6261</v>
      </c>
      <c r="I834" s="268">
        <v>8500</v>
      </c>
      <c r="J834" s="121">
        <f>SUM('Bud Req-W&amp;S O&amp;M'!E68)</f>
        <v>12000</v>
      </c>
      <c r="K834" s="121">
        <v>12000</v>
      </c>
    </row>
    <row r="835" spans="1:11" x14ac:dyDescent="0.25">
      <c r="A835" s="284">
        <v>550.05999999999995</v>
      </c>
      <c r="B835" s="285" t="s">
        <v>653</v>
      </c>
      <c r="C835" s="228"/>
      <c r="D835" s="228"/>
      <c r="E835" s="228"/>
      <c r="F835" s="228"/>
      <c r="G835" s="269">
        <v>1000</v>
      </c>
      <c r="H835" s="269">
        <v>13</v>
      </c>
      <c r="I835" s="269">
        <v>500</v>
      </c>
      <c r="J835" s="147">
        <f>SUM('Bud Req-W&amp;S O&amp;M'!E70)</f>
        <v>1500</v>
      </c>
      <c r="K835" s="147">
        <v>1500</v>
      </c>
    </row>
    <row r="836" spans="1:11" ht="18.75" thickBot="1" x14ac:dyDescent="0.3">
      <c r="A836" s="287" t="s">
        <v>306</v>
      </c>
      <c r="B836" s="288"/>
      <c r="C836" s="457"/>
      <c r="D836" s="457"/>
      <c r="E836" s="457"/>
      <c r="F836" s="457"/>
      <c r="G836" s="361">
        <f>SUM(G832:G835)</f>
        <v>26300</v>
      </c>
      <c r="H836" s="361">
        <f>SUM(H832:H835)</f>
        <v>21951</v>
      </c>
      <c r="I836" s="361">
        <f>SUM(I832:I835)</f>
        <v>25200</v>
      </c>
      <c r="J836" s="361">
        <f>SUM(J832:J835)</f>
        <v>26000</v>
      </c>
      <c r="K836" s="182">
        <f>SUM(K832:K835)</f>
        <v>26000</v>
      </c>
    </row>
    <row r="837" spans="1:11" x14ac:dyDescent="0.25">
      <c r="A837" s="158">
        <v>560.02</v>
      </c>
      <c r="B837" s="159" t="s">
        <v>179</v>
      </c>
      <c r="C837" s="228"/>
      <c r="D837" s="228"/>
      <c r="E837" s="228"/>
      <c r="F837" s="228"/>
      <c r="G837" s="268">
        <v>500</v>
      </c>
      <c r="H837" s="268">
        <v>0</v>
      </c>
      <c r="I837" s="268">
        <v>500</v>
      </c>
      <c r="J837" s="121">
        <f>SUM('Bud Req-W&amp;S O&amp;M'!E72)</f>
        <v>1000</v>
      </c>
      <c r="K837" s="121">
        <v>1000</v>
      </c>
    </row>
    <row r="838" spans="1:11" x14ac:dyDescent="0.25">
      <c r="A838" s="158">
        <v>560.09</v>
      </c>
      <c r="B838" s="159" t="s">
        <v>496</v>
      </c>
      <c r="C838" s="228"/>
      <c r="D838" s="228"/>
      <c r="E838" s="228"/>
      <c r="F838" s="228"/>
      <c r="G838" s="268">
        <v>750</v>
      </c>
      <c r="H838" s="268">
        <v>1210</v>
      </c>
      <c r="I838" s="268">
        <v>1350</v>
      </c>
      <c r="J838" s="268">
        <v>1500</v>
      </c>
      <c r="K838" s="121">
        <v>1500</v>
      </c>
    </row>
    <row r="839" spans="1:11" x14ac:dyDescent="0.25">
      <c r="A839" s="284">
        <v>560.1</v>
      </c>
      <c r="B839" s="285" t="s">
        <v>180</v>
      </c>
      <c r="C839" s="228"/>
      <c r="D839" s="228"/>
      <c r="E839" s="228"/>
      <c r="F839" s="228"/>
      <c r="G839" s="269">
        <v>5000</v>
      </c>
      <c r="H839" s="269">
        <v>2504</v>
      </c>
      <c r="I839" s="269">
        <v>5000</v>
      </c>
      <c r="J839" s="147">
        <f>SUM('Bud Req-W&amp;S O&amp;M'!E77)</f>
        <v>7500</v>
      </c>
      <c r="K839" s="147">
        <v>7500</v>
      </c>
    </row>
    <row r="840" spans="1:11" ht="18.75" thickBot="1" x14ac:dyDescent="0.3">
      <c r="A840" s="287" t="s">
        <v>178</v>
      </c>
      <c r="B840" s="288"/>
      <c r="C840" s="457"/>
      <c r="D840" s="457"/>
      <c r="E840" s="457"/>
      <c r="F840" s="457"/>
      <c r="G840" s="361">
        <f>SUM(G837:G839)</f>
        <v>6250</v>
      </c>
      <c r="H840" s="361">
        <f>SUM(H837:H839)</f>
        <v>3714</v>
      </c>
      <c r="I840" s="361">
        <f>SUM(I837:I839)</f>
        <v>6850</v>
      </c>
      <c r="J840" s="361">
        <f>SUM(J837:J839)</f>
        <v>10000</v>
      </c>
      <c r="K840" s="182">
        <f>SUM(K837:K839)</f>
        <v>10000</v>
      </c>
    </row>
    <row r="841" spans="1:11" x14ac:dyDescent="0.25">
      <c r="A841" s="158">
        <v>580.01</v>
      </c>
      <c r="B841" s="159" t="s">
        <v>182</v>
      </c>
      <c r="C841" s="228"/>
      <c r="D841" s="228"/>
      <c r="E841" s="228"/>
      <c r="F841" s="228"/>
      <c r="G841" s="268">
        <v>30000</v>
      </c>
      <c r="H841" s="268">
        <v>0</v>
      </c>
      <c r="I841" s="268">
        <v>15000</v>
      </c>
      <c r="J841" s="121">
        <f>SUM('Bud Req-W&amp;S O&amp;M'!E81)</f>
        <v>35000</v>
      </c>
      <c r="K841" s="121">
        <v>35000</v>
      </c>
    </row>
    <row r="842" spans="1:11" x14ac:dyDescent="0.25">
      <c r="A842" s="158">
        <v>580.04</v>
      </c>
      <c r="B842" s="159" t="s">
        <v>676</v>
      </c>
      <c r="C842" s="228"/>
      <c r="D842" s="228"/>
      <c r="E842" s="228"/>
      <c r="F842" s="228"/>
      <c r="G842" s="268">
        <v>0</v>
      </c>
      <c r="H842" s="268">
        <v>0</v>
      </c>
      <c r="I842" s="268">
        <v>0</v>
      </c>
      <c r="J842" s="121">
        <v>5000</v>
      </c>
      <c r="K842" s="121">
        <v>5000</v>
      </c>
    </row>
    <row r="843" spans="1:11" x14ac:dyDescent="0.25">
      <c r="A843" s="158">
        <v>580.11</v>
      </c>
      <c r="B843" s="159" t="s">
        <v>550</v>
      </c>
      <c r="C843" s="228"/>
      <c r="D843" s="228"/>
      <c r="E843" s="228"/>
      <c r="F843" s="228"/>
      <c r="G843" s="268">
        <v>12500</v>
      </c>
      <c r="H843" s="268">
        <v>12250</v>
      </c>
      <c r="I843" s="268">
        <v>12500</v>
      </c>
      <c r="J843" s="121">
        <f>SUM('Bud Req-W&amp;S O&amp;M'!E85)</f>
        <v>10500</v>
      </c>
      <c r="K843" s="121">
        <v>10500</v>
      </c>
    </row>
    <row r="844" spans="1:11" x14ac:dyDescent="0.25">
      <c r="A844" s="158">
        <v>580.12</v>
      </c>
      <c r="B844" s="159" t="s">
        <v>308</v>
      </c>
      <c r="C844" s="228"/>
      <c r="D844" s="228"/>
      <c r="E844" s="228"/>
      <c r="F844" s="228"/>
      <c r="G844" s="268">
        <v>2000</v>
      </c>
      <c r="H844" s="268">
        <v>0</v>
      </c>
      <c r="I844" s="268">
        <v>2000</v>
      </c>
      <c r="J844" s="268">
        <v>2000</v>
      </c>
      <c r="K844" s="121">
        <v>2000</v>
      </c>
    </row>
    <row r="845" spans="1:11" x14ac:dyDescent="0.25">
      <c r="A845" s="158">
        <v>580.14</v>
      </c>
      <c r="B845" s="159" t="s">
        <v>244</v>
      </c>
      <c r="C845" s="228"/>
      <c r="D845" s="228"/>
      <c r="E845" s="228"/>
      <c r="F845" s="228"/>
      <c r="G845" s="268">
        <v>0</v>
      </c>
      <c r="H845" s="268">
        <v>0</v>
      </c>
      <c r="I845" s="268">
        <v>0</v>
      </c>
      <c r="J845" s="268">
        <v>0</v>
      </c>
      <c r="K845" s="121">
        <v>0</v>
      </c>
    </row>
    <row r="846" spans="1:11" x14ac:dyDescent="0.25">
      <c r="A846" s="284">
        <v>580.16</v>
      </c>
      <c r="B846" s="285" t="s">
        <v>551</v>
      </c>
      <c r="C846" s="228"/>
      <c r="D846" s="228"/>
      <c r="E846" s="228"/>
      <c r="F846" s="228"/>
      <c r="G846" s="269">
        <v>25000</v>
      </c>
      <c r="H846" s="269">
        <v>13232</v>
      </c>
      <c r="I846" s="269">
        <v>23000</v>
      </c>
      <c r="J846" s="147">
        <f>SUM('Bud Req-W&amp;S O&amp;M'!E87)</f>
        <v>30000</v>
      </c>
      <c r="K846" s="147">
        <v>30000</v>
      </c>
    </row>
    <row r="847" spans="1:11" ht="18.75" thickBot="1" x14ac:dyDescent="0.3">
      <c r="A847" s="287" t="s">
        <v>307</v>
      </c>
      <c r="B847" s="288"/>
      <c r="C847" s="457"/>
      <c r="D847" s="457"/>
      <c r="E847" s="457"/>
      <c r="F847" s="457"/>
      <c r="G847" s="361">
        <f>SUM(G841:G846)</f>
        <v>69500</v>
      </c>
      <c r="H847" s="361">
        <f>SUM(H841:H846)</f>
        <v>25482</v>
      </c>
      <c r="I847" s="508">
        <f>SUM(I841:I846)</f>
        <v>52500</v>
      </c>
      <c r="J847" s="361">
        <f>SUM(J841:J846)</f>
        <v>82500</v>
      </c>
      <c r="K847" s="182">
        <f>SUM(K841:K846)</f>
        <v>82500</v>
      </c>
    </row>
    <row r="848" spans="1:11" x14ac:dyDescent="0.25">
      <c r="A848" s="158">
        <v>590.01</v>
      </c>
      <c r="B848" s="159" t="s">
        <v>203</v>
      </c>
      <c r="C848" s="228"/>
      <c r="D848" s="228"/>
      <c r="E848" s="228"/>
      <c r="F848" s="228"/>
      <c r="G848" s="268">
        <v>0</v>
      </c>
      <c r="H848" s="268">
        <v>0</v>
      </c>
      <c r="I848" s="268">
        <v>0</v>
      </c>
      <c r="J848" s="268">
        <v>0</v>
      </c>
      <c r="K848" s="121">
        <v>0</v>
      </c>
    </row>
    <row r="849" spans="1:11" x14ac:dyDescent="0.25">
      <c r="A849" s="158">
        <v>590.02</v>
      </c>
      <c r="B849" s="159" t="s">
        <v>309</v>
      </c>
      <c r="C849" s="228"/>
      <c r="D849" s="228"/>
      <c r="E849" s="228"/>
      <c r="F849" s="228"/>
      <c r="G849" s="268">
        <v>51650</v>
      </c>
      <c r="H849" s="268">
        <v>29700</v>
      </c>
      <c r="I849" s="268">
        <f>+H849+20000</f>
        <v>49700</v>
      </c>
      <c r="J849" s="121">
        <v>29000</v>
      </c>
      <c r="K849" s="121">
        <v>29000</v>
      </c>
    </row>
    <row r="850" spans="1:11" x14ac:dyDescent="0.25">
      <c r="A850" s="158">
        <v>590.03</v>
      </c>
      <c r="B850" s="159" t="s">
        <v>552</v>
      </c>
      <c r="C850" s="228"/>
      <c r="D850" s="228"/>
      <c r="E850" s="228"/>
      <c r="F850" s="228"/>
      <c r="G850" s="268">
        <v>60640</v>
      </c>
      <c r="H850" s="268">
        <v>45159</v>
      </c>
      <c r="I850" s="268">
        <f>+H850+(1105*4)+6000</f>
        <v>55579</v>
      </c>
      <c r="J850" s="121">
        <f>SUM('Bud Req-W&amp;S O&amp;M'!E94)</f>
        <v>51000</v>
      </c>
      <c r="K850" s="121">
        <v>51000</v>
      </c>
    </row>
    <row r="851" spans="1:11" x14ac:dyDescent="0.25">
      <c r="A851" s="284">
        <v>590.04</v>
      </c>
      <c r="B851" s="285" t="s">
        <v>553</v>
      </c>
      <c r="C851" s="228"/>
      <c r="D851" s="228"/>
      <c r="E851" s="228"/>
      <c r="F851" s="228"/>
      <c r="G851" s="269">
        <v>51130</v>
      </c>
      <c r="H851" s="269">
        <v>55175</v>
      </c>
      <c r="I851" s="269">
        <v>55175</v>
      </c>
      <c r="J851" s="147">
        <f>SUM('Bud Req-W&amp;S O&amp;M'!E99)</f>
        <v>53900</v>
      </c>
      <c r="K851" s="147">
        <v>53900</v>
      </c>
    </row>
    <row r="852" spans="1:11" ht="18.75" thickBot="1" x14ac:dyDescent="0.3">
      <c r="A852" s="287" t="s">
        <v>262</v>
      </c>
      <c r="B852" s="288"/>
      <c r="C852" s="457"/>
      <c r="D852" s="457"/>
      <c r="E852" s="457"/>
      <c r="F852" s="457"/>
      <c r="G852" s="361">
        <f>SUM(G848:G851)</f>
        <v>163420</v>
      </c>
      <c r="H852" s="361">
        <f>SUM(H848:H851)</f>
        <v>130034</v>
      </c>
      <c r="I852" s="361">
        <f>SUM(I848:I851)</f>
        <v>160454</v>
      </c>
      <c r="J852" s="361">
        <f>SUM(J848:J851)</f>
        <v>133900</v>
      </c>
      <c r="K852" s="182">
        <f>SUM(K848:K851)</f>
        <v>133900</v>
      </c>
    </row>
    <row r="853" spans="1:11" x14ac:dyDescent="0.25">
      <c r="A853" s="159">
        <v>620.04999999999995</v>
      </c>
      <c r="B853" s="159" t="s">
        <v>312</v>
      </c>
      <c r="C853" s="228"/>
      <c r="D853" s="228"/>
      <c r="E853" s="228"/>
      <c r="F853" s="228"/>
      <c r="G853" s="121">
        <v>120000</v>
      </c>
      <c r="H853" s="121">
        <v>90000</v>
      </c>
      <c r="I853" s="121">
        <v>120000</v>
      </c>
      <c r="J853" s="121">
        <f>SUM('Bud Req-W&amp;S O&amp;M'!E101)</f>
        <v>300000</v>
      </c>
      <c r="K853" s="121">
        <v>287500</v>
      </c>
    </row>
    <row r="854" spans="1:11" x14ac:dyDescent="0.25">
      <c r="A854" s="284">
        <v>620.1</v>
      </c>
      <c r="B854" s="285" t="s">
        <v>684</v>
      </c>
      <c r="C854" s="228"/>
      <c r="D854" s="228"/>
      <c r="E854" s="228"/>
      <c r="F854" s="228"/>
      <c r="G854" s="147">
        <v>41250</v>
      </c>
      <c r="H854" s="147">
        <v>15125</v>
      </c>
      <c r="I854" s="147">
        <f>15125+10500</f>
        <v>25625</v>
      </c>
      <c r="J854" s="147">
        <f>SUM('Bud Req-W&amp;S O&amp;M'!E103)</f>
        <v>28000</v>
      </c>
      <c r="K854" s="147">
        <v>28000</v>
      </c>
    </row>
    <row r="855" spans="1:11" ht="18.75" thickBot="1" x14ac:dyDescent="0.3">
      <c r="A855" s="468" t="s">
        <v>663</v>
      </c>
      <c r="B855" s="288"/>
      <c r="C855" s="457"/>
      <c r="D855" s="457"/>
      <c r="E855" s="457"/>
      <c r="F855" s="457"/>
      <c r="G855" s="182">
        <f>SUM(G853:G854)</f>
        <v>161250</v>
      </c>
      <c r="H855" s="182">
        <f>SUM(H853:H854)</f>
        <v>105125</v>
      </c>
      <c r="I855" s="182">
        <f>SUM(I853:I854)</f>
        <v>145625</v>
      </c>
      <c r="J855" s="182">
        <f>SUM(J853:J854)</f>
        <v>328000</v>
      </c>
      <c r="K855" s="182">
        <f>SUM(K853:K854)</f>
        <v>315500</v>
      </c>
    </row>
    <row r="856" spans="1:11" ht="18.75" thickBot="1" x14ac:dyDescent="0.3">
      <c r="A856" s="526" t="s">
        <v>563</v>
      </c>
      <c r="B856" s="527"/>
      <c r="C856" s="98"/>
      <c r="D856" s="98"/>
      <c r="E856" s="98"/>
      <c r="F856" s="98"/>
      <c r="G856" s="120">
        <f>SUM(G805+G815+G826+G831+G836+G840+G847+G852+G855)</f>
        <v>1430803</v>
      </c>
      <c r="H856" s="120">
        <f>SUM(H805+H815+H826+H831+H836+H840+H847+H852+H855)</f>
        <v>955214</v>
      </c>
      <c r="I856" s="120">
        <f>SUM(I805+I815+I826+I831+I836+I840+I847+I852+I855)</f>
        <v>1417688.4254000001</v>
      </c>
      <c r="J856" s="120">
        <f>SUM(J805+J815+J826+J831+J836+J840+J847+J852+J855)</f>
        <v>1532508.1215333333</v>
      </c>
      <c r="K856" s="120">
        <f>SUM(K805+K815+K826+K831+K836+K840+K847+K852+K855)</f>
        <v>1723580</v>
      </c>
    </row>
    <row r="857" spans="1:11" ht="18.75" thickBot="1" x14ac:dyDescent="0.3">
      <c r="A857" s="362" t="s">
        <v>23</v>
      </c>
      <c r="B857" s="363"/>
      <c r="C857" s="309">
        <v>3414165</v>
      </c>
      <c r="D857" s="239">
        <v>233270400</v>
      </c>
      <c r="E857" s="239">
        <v>3259088</v>
      </c>
      <c r="F857" s="239" t="e">
        <f>SUM(F665+F728+F792)</f>
        <v>#REF!</v>
      </c>
      <c r="G857" s="364">
        <f>SUM(G665+G728+G792+G856)</f>
        <v>4431868</v>
      </c>
      <c r="H857" s="364">
        <f>SUM(H665+H728+H792+H856)</f>
        <v>3101402</v>
      </c>
      <c r="I857" s="364">
        <f>SUM(I665+I728+I792+I856)</f>
        <v>4454753.1532000005</v>
      </c>
      <c r="J857" s="364">
        <f>SUM(J665+J728+J792+J856)</f>
        <v>7902188.6855333336</v>
      </c>
      <c r="K857" s="365">
        <f>SUM(K665+K728+K792+K856)</f>
        <v>7909983.4699999997</v>
      </c>
    </row>
    <row r="858" spans="1:11" x14ac:dyDescent="0.25">
      <c r="A858" s="528" t="s">
        <v>49</v>
      </c>
      <c r="B858" s="529"/>
      <c r="C858" s="189"/>
      <c r="D858" s="194"/>
      <c r="E858" s="194"/>
      <c r="F858" s="296" t="e">
        <f t="shared" ref="F858:K858" si="88">(F607-F857)</f>
        <v>#REF!</v>
      </c>
      <c r="G858" s="366">
        <f t="shared" si="88"/>
        <v>155537</v>
      </c>
      <c r="H858" s="366">
        <f t="shared" si="88"/>
        <v>47683</v>
      </c>
      <c r="I858" s="367">
        <f t="shared" si="88"/>
        <v>326496.84679999948</v>
      </c>
      <c r="J858" s="367">
        <f t="shared" si="88"/>
        <v>28043.31446666643</v>
      </c>
      <c r="K858" s="368">
        <f t="shared" si="88"/>
        <v>20248.530000000261</v>
      </c>
    </row>
    <row r="859" spans="1:11" x14ac:dyDescent="0.25">
      <c r="A859" s="369"/>
      <c r="B859" s="370" t="s">
        <v>1084</v>
      </c>
      <c r="C859" s="371"/>
      <c r="D859" s="371"/>
      <c r="E859" s="371"/>
      <c r="F859" s="371"/>
      <c r="G859" s="372"/>
      <c r="H859" s="372"/>
      <c r="I859" s="101" t="str">
        <f>+I2</f>
        <v xml:space="preserve"> Estimated</v>
      </c>
      <c r="J859" s="101" t="s">
        <v>1093</v>
      </c>
      <c r="K859" s="101" t="s">
        <v>1077</v>
      </c>
    </row>
    <row r="860" spans="1:11" x14ac:dyDescent="0.25">
      <c r="A860" s="373"/>
      <c r="B860" s="374" t="s">
        <v>36</v>
      </c>
      <c r="C860" s="330" t="s">
        <v>27</v>
      </c>
      <c r="D860" s="330" t="s">
        <v>30</v>
      </c>
      <c r="E860" s="330" t="s">
        <v>29</v>
      </c>
      <c r="F860" s="330" t="s">
        <v>405</v>
      </c>
      <c r="G860" s="375" t="str">
        <f>+G3</f>
        <v>Budget 2016-17</v>
      </c>
      <c r="H860" s="375" t="str">
        <f>+H3</f>
        <v>Actual 5/31/17</v>
      </c>
      <c r="I860" s="376">
        <f>+I3</f>
        <v>43008</v>
      </c>
      <c r="J860" s="375" t="str">
        <f>+J3</f>
        <v>Budget 2017-18</v>
      </c>
      <c r="K860" s="375" t="s">
        <v>1076</v>
      </c>
    </row>
    <row r="861" spans="1:11" x14ac:dyDescent="0.25">
      <c r="A861" s="377"/>
      <c r="B861" s="378" t="s">
        <v>37</v>
      </c>
      <c r="C861" s="379"/>
      <c r="D861" s="379"/>
      <c r="E861" s="379"/>
      <c r="F861" s="380">
        <v>671673</v>
      </c>
      <c r="G861" s="381">
        <v>1521950</v>
      </c>
      <c r="H861" s="381"/>
      <c r="I861" s="113">
        <v>0</v>
      </c>
      <c r="J861" s="113">
        <f>+G879</f>
        <v>1334946</v>
      </c>
      <c r="K861" s="170">
        <v>1334946</v>
      </c>
    </row>
    <row r="862" spans="1:11" x14ac:dyDescent="0.25">
      <c r="A862" s="98"/>
      <c r="B862" s="125"/>
      <c r="C862" s="127"/>
      <c r="D862" s="320"/>
      <c r="E862" s="320"/>
      <c r="F862" s="128"/>
      <c r="G862" s="129"/>
      <c r="H862" s="129"/>
      <c r="I862" s="129"/>
      <c r="J862" s="129"/>
      <c r="K862" s="131"/>
    </row>
    <row r="863" spans="1:11" x14ac:dyDescent="0.25">
      <c r="A863" s="98"/>
      <c r="B863" s="98" t="s">
        <v>40</v>
      </c>
      <c r="C863" s="144">
        <v>824000</v>
      </c>
      <c r="D863" s="165">
        <v>166664</v>
      </c>
      <c r="E863" s="165">
        <v>166664</v>
      </c>
      <c r="F863" s="145"/>
      <c r="G863" s="163"/>
      <c r="H863" s="163" t="s">
        <v>915</v>
      </c>
      <c r="I863" s="163"/>
      <c r="J863" s="161"/>
      <c r="K863" s="163"/>
    </row>
    <row r="864" spans="1:11" x14ac:dyDescent="0.25">
      <c r="A864" s="98"/>
      <c r="B864" s="439" t="s">
        <v>38</v>
      </c>
      <c r="C864" s="228"/>
      <c r="D864" s="228"/>
      <c r="E864" s="228"/>
      <c r="F864" s="156">
        <v>249996</v>
      </c>
      <c r="G864" s="112">
        <v>249996</v>
      </c>
      <c r="H864" s="112">
        <v>166664</v>
      </c>
      <c r="I864" s="112">
        <v>249996</v>
      </c>
      <c r="J864" s="112">
        <v>500000</v>
      </c>
      <c r="K864" s="112">
        <v>300000</v>
      </c>
    </row>
    <row r="865" spans="1:11" x14ac:dyDescent="0.25">
      <c r="A865" s="98"/>
      <c r="B865" s="159" t="s">
        <v>348</v>
      </c>
      <c r="C865" s="228"/>
      <c r="D865" s="228"/>
      <c r="E865" s="228"/>
      <c r="F865" s="156">
        <v>93377</v>
      </c>
      <c r="G865" s="121">
        <v>96000</v>
      </c>
      <c r="H865" s="121">
        <v>64000</v>
      </c>
      <c r="I865" s="121">
        <v>96000</v>
      </c>
      <c r="J865" s="121">
        <f>8000*12</f>
        <v>96000</v>
      </c>
      <c r="K865" s="121">
        <v>96000</v>
      </c>
    </row>
    <row r="866" spans="1:11" x14ac:dyDescent="0.25">
      <c r="A866" s="98"/>
      <c r="B866" s="509" t="s">
        <v>845</v>
      </c>
      <c r="C866" s="228"/>
      <c r="D866" s="228"/>
      <c r="E866" s="228"/>
      <c r="F866" s="156">
        <v>0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</row>
    <row r="867" spans="1:11" x14ac:dyDescent="0.25">
      <c r="A867" s="98"/>
      <c r="B867" s="159" t="s">
        <v>502</v>
      </c>
      <c r="C867" s="228"/>
      <c r="D867" s="228"/>
      <c r="E867" s="228"/>
      <c r="F867" s="156">
        <v>0</v>
      </c>
      <c r="G867" s="121">
        <v>0</v>
      </c>
      <c r="H867" s="121">
        <v>0</v>
      </c>
      <c r="I867" s="121">
        <v>0</v>
      </c>
      <c r="J867" s="121">
        <v>0</v>
      </c>
      <c r="K867" s="121">
        <v>0</v>
      </c>
    </row>
    <row r="868" spans="1:11" x14ac:dyDescent="0.25">
      <c r="A868" s="98"/>
      <c r="B868" s="285" t="s">
        <v>73</v>
      </c>
      <c r="C868" s="228"/>
      <c r="D868" s="228"/>
      <c r="E868" s="228"/>
      <c r="F868" s="156">
        <v>2200</v>
      </c>
      <c r="G868" s="269">
        <v>2000</v>
      </c>
      <c r="H868" s="269">
        <v>929</v>
      </c>
      <c r="I868" s="269">
        <v>2000</v>
      </c>
      <c r="J868" s="269">
        <v>3000</v>
      </c>
      <c r="K868" s="147">
        <v>3000</v>
      </c>
    </row>
    <row r="869" spans="1:11" x14ac:dyDescent="0.25">
      <c r="A869" s="98"/>
      <c r="B869" s="510" t="s">
        <v>39</v>
      </c>
      <c r="C869" s="228"/>
      <c r="D869" s="228"/>
      <c r="E869" s="228"/>
      <c r="F869" s="156">
        <f t="shared" ref="F869:K869" si="89">SUM(F864:F868)</f>
        <v>345573</v>
      </c>
      <c r="G869" s="336">
        <f t="shared" si="89"/>
        <v>347996</v>
      </c>
      <c r="H869" s="336">
        <f t="shared" si="89"/>
        <v>231593</v>
      </c>
      <c r="I869" s="336">
        <f t="shared" si="89"/>
        <v>347996</v>
      </c>
      <c r="J869" s="336">
        <f t="shared" si="89"/>
        <v>599000</v>
      </c>
      <c r="K869" s="336">
        <f t="shared" si="89"/>
        <v>399000</v>
      </c>
    </row>
    <row r="870" spans="1:11" x14ac:dyDescent="0.25">
      <c r="A870" s="98"/>
      <c r="B870" s="228"/>
      <c r="C870" s="228"/>
      <c r="D870" s="228"/>
      <c r="E870" s="228"/>
      <c r="F870" s="156"/>
      <c r="G870" s="310"/>
      <c r="H870" s="310"/>
      <c r="I870" s="310"/>
      <c r="J870" s="310"/>
      <c r="K870" s="310"/>
    </row>
    <row r="871" spans="1:11" x14ac:dyDescent="0.25">
      <c r="A871" s="98"/>
      <c r="B871" s="228" t="s">
        <v>41</v>
      </c>
      <c r="C871" s="228"/>
      <c r="D871" s="228"/>
      <c r="E871" s="228"/>
      <c r="F871" s="156"/>
      <c r="G871" s="310"/>
      <c r="H871" s="310"/>
      <c r="I871" s="310"/>
      <c r="J871" s="310"/>
      <c r="K871" s="310"/>
    </row>
    <row r="872" spans="1:11" x14ac:dyDescent="0.25">
      <c r="A872" s="98"/>
      <c r="B872" s="439" t="s">
        <v>42</v>
      </c>
      <c r="C872" s="228"/>
      <c r="D872" s="228"/>
      <c r="E872" s="228"/>
      <c r="F872" s="156">
        <v>65000</v>
      </c>
      <c r="G872" s="112">
        <v>0</v>
      </c>
      <c r="H872" s="112">
        <v>0</v>
      </c>
      <c r="I872" s="112">
        <v>0</v>
      </c>
      <c r="J872" s="112">
        <v>0</v>
      </c>
      <c r="K872" s="112">
        <v>0</v>
      </c>
    </row>
    <row r="873" spans="1:11" x14ac:dyDescent="0.25">
      <c r="A873" s="98"/>
      <c r="B873" s="159" t="s">
        <v>43</v>
      </c>
      <c r="C873" s="228"/>
      <c r="D873" s="228"/>
      <c r="E873" s="228"/>
      <c r="F873" s="156">
        <v>440000</v>
      </c>
      <c r="G873" s="121">
        <v>500000</v>
      </c>
      <c r="H873" s="121">
        <v>49861</v>
      </c>
      <c r="I873" s="121">
        <v>500000</v>
      </c>
      <c r="J873" s="121">
        <v>500000</v>
      </c>
      <c r="K873" s="121">
        <v>500000</v>
      </c>
    </row>
    <row r="874" spans="1:11" x14ac:dyDescent="0.25">
      <c r="A874" s="98"/>
      <c r="B874" s="159" t="s">
        <v>44</v>
      </c>
      <c r="C874" s="228"/>
      <c r="D874" s="228"/>
      <c r="E874" s="228"/>
      <c r="F874" s="156">
        <v>35000</v>
      </c>
      <c r="G874" s="121">
        <v>35000</v>
      </c>
      <c r="H874" s="121">
        <v>14450</v>
      </c>
      <c r="I874" s="121">
        <v>35000</v>
      </c>
      <c r="J874" s="121">
        <v>30000</v>
      </c>
      <c r="K874" s="121">
        <v>30000</v>
      </c>
    </row>
    <row r="875" spans="1:11" x14ac:dyDescent="0.25">
      <c r="A875" s="98"/>
      <c r="B875" s="159" t="s">
        <v>503</v>
      </c>
      <c r="C875" s="228"/>
      <c r="D875" s="228"/>
      <c r="E875" s="228"/>
      <c r="F875" s="156">
        <v>0</v>
      </c>
      <c r="G875" s="121">
        <v>0</v>
      </c>
      <c r="H875" s="121">
        <v>0</v>
      </c>
      <c r="I875" s="121">
        <v>0</v>
      </c>
      <c r="J875" s="121">
        <v>0</v>
      </c>
      <c r="K875" s="121">
        <v>0</v>
      </c>
    </row>
    <row r="876" spans="1:11" x14ac:dyDescent="0.25">
      <c r="A876" s="98"/>
      <c r="B876" s="285" t="s">
        <v>45</v>
      </c>
      <c r="C876" s="228"/>
      <c r="D876" s="228"/>
      <c r="E876" s="228"/>
      <c r="F876" s="156">
        <v>10000</v>
      </c>
      <c r="G876" s="147">
        <v>0</v>
      </c>
      <c r="H876" s="147">
        <v>0</v>
      </c>
      <c r="I876" s="147">
        <v>0</v>
      </c>
      <c r="J876" s="147">
        <v>0</v>
      </c>
      <c r="K876" s="147">
        <v>0</v>
      </c>
    </row>
    <row r="877" spans="1:11" x14ac:dyDescent="0.25">
      <c r="A877" s="98"/>
      <c r="B877" s="510" t="s">
        <v>46</v>
      </c>
      <c r="C877" s="228"/>
      <c r="D877" s="228"/>
      <c r="E877" s="228"/>
      <c r="F877" s="156">
        <f t="shared" ref="F877:K877" si="90">SUM(F872:F876)</f>
        <v>550000</v>
      </c>
      <c r="G877" s="336">
        <f t="shared" si="90"/>
        <v>535000</v>
      </c>
      <c r="H877" s="336">
        <f t="shared" si="90"/>
        <v>64311</v>
      </c>
      <c r="I877" s="336">
        <f t="shared" si="90"/>
        <v>535000</v>
      </c>
      <c r="J877" s="336">
        <f t="shared" si="90"/>
        <v>530000</v>
      </c>
      <c r="K877" s="336">
        <f t="shared" si="90"/>
        <v>530000</v>
      </c>
    </row>
    <row r="878" spans="1:11" x14ac:dyDescent="0.25">
      <c r="A878" s="98"/>
      <c r="B878" s="228"/>
      <c r="C878" s="228"/>
      <c r="D878" s="228"/>
      <c r="E878" s="228"/>
      <c r="F878" s="156"/>
      <c r="G878" s="310"/>
      <c r="H878" s="310"/>
      <c r="I878" s="310"/>
      <c r="J878" s="310"/>
      <c r="K878" s="310"/>
    </row>
    <row r="879" spans="1:11" x14ac:dyDescent="0.25">
      <c r="A879" s="98"/>
      <c r="B879" s="281" t="s">
        <v>47</v>
      </c>
      <c r="C879" s="281"/>
      <c r="D879" s="281"/>
      <c r="E879" s="281"/>
      <c r="F879" s="473">
        <f t="shared" ref="F879:K879" si="91">SUM(F861+F869-F877)</f>
        <v>467246</v>
      </c>
      <c r="G879" s="346">
        <f t="shared" si="91"/>
        <v>1334946</v>
      </c>
      <c r="H879" s="346">
        <f t="shared" si="91"/>
        <v>167282</v>
      </c>
      <c r="I879" s="346">
        <f t="shared" si="91"/>
        <v>-187004</v>
      </c>
      <c r="J879" s="346">
        <f t="shared" si="91"/>
        <v>1403946</v>
      </c>
      <c r="K879" s="346">
        <f t="shared" si="91"/>
        <v>1203946</v>
      </c>
    </row>
    <row r="880" spans="1:11" x14ac:dyDescent="0.25">
      <c r="A880" s="98"/>
      <c r="B880" s="98"/>
      <c r="C880" s="98"/>
      <c r="D880" s="98"/>
      <c r="E880" s="98"/>
      <c r="F880" s="144"/>
      <c r="G880" s="163"/>
      <c r="H880" s="163"/>
      <c r="I880" s="163"/>
      <c r="J880" s="163"/>
    </row>
    <row r="881" spans="1:11" x14ac:dyDescent="0.25">
      <c r="A881" s="98"/>
      <c r="B881" s="98"/>
      <c r="C881" s="98"/>
      <c r="D881" s="98"/>
      <c r="E881" s="98"/>
      <c r="F881" s="144"/>
      <c r="G881" s="163"/>
      <c r="H881" s="163"/>
      <c r="I881" s="163"/>
      <c r="J881" s="163"/>
    </row>
    <row r="882" spans="1:11" x14ac:dyDescent="0.25">
      <c r="A882" s="328" t="s">
        <v>1091</v>
      </c>
      <c r="B882" s="348"/>
      <c r="C882" s="328"/>
      <c r="D882" s="328"/>
      <c r="E882" s="328"/>
      <c r="F882" s="348"/>
      <c r="G882" s="328"/>
      <c r="H882" s="330"/>
      <c r="I882" s="348" t="str">
        <f>+I2</f>
        <v xml:space="preserve"> Estimated</v>
      </c>
      <c r="J882" s="348" t="s">
        <v>1093</v>
      </c>
      <c r="K882" s="348" t="s">
        <v>1075</v>
      </c>
    </row>
    <row r="883" spans="1:11" x14ac:dyDescent="0.25">
      <c r="A883" s="382"/>
      <c r="B883" s="382"/>
      <c r="C883" s="330" t="s">
        <v>27</v>
      </c>
      <c r="D883" s="330" t="s">
        <v>30</v>
      </c>
      <c r="E883" s="330" t="s">
        <v>29</v>
      </c>
      <c r="F883" s="330" t="s">
        <v>405</v>
      </c>
      <c r="G883" s="383" t="str">
        <f>+G3</f>
        <v>Budget 2016-17</v>
      </c>
      <c r="H883" s="348" t="str">
        <f>+H3</f>
        <v>Actual 5/31/17</v>
      </c>
      <c r="I883" s="384">
        <f>+I3</f>
        <v>43008</v>
      </c>
      <c r="J883" s="383" t="str">
        <f>+J3</f>
        <v>Budget 2017-18</v>
      </c>
      <c r="K883" s="348" t="s">
        <v>1076</v>
      </c>
    </row>
    <row r="884" spans="1:11" x14ac:dyDescent="0.25">
      <c r="A884" s="98"/>
      <c r="B884" s="98" t="s">
        <v>40</v>
      </c>
      <c r="C884" s="98"/>
      <c r="D884" s="98"/>
      <c r="E884" s="98"/>
      <c r="F884" s="98"/>
      <c r="G884" s="98"/>
      <c r="H884" s="98"/>
      <c r="I884" s="145"/>
      <c r="J884" s="145"/>
    </row>
    <row r="885" spans="1:11" x14ac:dyDescent="0.25">
      <c r="A885" s="108"/>
      <c r="B885" s="108" t="s">
        <v>679</v>
      </c>
      <c r="C885" s="145">
        <v>0</v>
      </c>
      <c r="D885" s="145"/>
      <c r="E885" s="144"/>
      <c r="F885" s="145">
        <v>275000</v>
      </c>
      <c r="G885" s="113">
        <v>0</v>
      </c>
      <c r="H885" s="113">
        <v>0</v>
      </c>
      <c r="I885" s="113">
        <v>0</v>
      </c>
      <c r="J885" s="113">
        <v>0</v>
      </c>
      <c r="K885" s="113">
        <v>0</v>
      </c>
    </row>
    <row r="886" spans="1:11" x14ac:dyDescent="0.25">
      <c r="A886" s="116">
        <v>370.1</v>
      </c>
      <c r="B886" s="116" t="s">
        <v>878</v>
      </c>
      <c r="C886" s="145">
        <v>0</v>
      </c>
      <c r="D886" s="145"/>
      <c r="E886" s="144"/>
      <c r="F886" s="145">
        <v>0</v>
      </c>
      <c r="G886" s="187">
        <v>316250</v>
      </c>
      <c r="H886" s="120">
        <v>12750</v>
      </c>
      <c r="I886" s="120">
        <f>H886+10000</f>
        <v>22750</v>
      </c>
      <c r="J886" s="187">
        <v>25000</v>
      </c>
      <c r="K886" s="120">
        <v>25000</v>
      </c>
    </row>
    <row r="887" spans="1:11" x14ac:dyDescent="0.25">
      <c r="A887" s="116"/>
      <c r="B887" s="116" t="s">
        <v>14</v>
      </c>
      <c r="C887" s="145">
        <v>0</v>
      </c>
      <c r="D887" s="145"/>
      <c r="E887" s="144"/>
      <c r="F887" s="145">
        <v>0</v>
      </c>
      <c r="G887" s="120">
        <v>0</v>
      </c>
      <c r="H887" s="120">
        <v>0</v>
      </c>
      <c r="I887" s="120">
        <v>0</v>
      </c>
      <c r="J887" s="120">
        <v>0</v>
      </c>
      <c r="K887" s="120">
        <v>0</v>
      </c>
    </row>
    <row r="888" spans="1:11" ht="18.75" thickBot="1" x14ac:dyDescent="0.3">
      <c r="A888" s="116"/>
      <c r="B888" s="116" t="s">
        <v>52</v>
      </c>
      <c r="C888" s="145"/>
      <c r="D888" s="145"/>
      <c r="E888" s="144"/>
      <c r="F888" s="145">
        <v>0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</row>
    <row r="889" spans="1:11" ht="18.75" thickBot="1" x14ac:dyDescent="0.3">
      <c r="A889" s="530" t="s">
        <v>1086</v>
      </c>
      <c r="B889" s="531"/>
      <c r="C889" s="239">
        <v>0</v>
      </c>
      <c r="D889" s="239"/>
      <c r="E889" s="239"/>
      <c r="F889" s="239">
        <f t="shared" ref="F889:K889" si="92">SUM(F885:F888)</f>
        <v>275000</v>
      </c>
      <c r="G889" s="240">
        <f t="shared" si="92"/>
        <v>316250</v>
      </c>
      <c r="H889" s="240">
        <f t="shared" si="92"/>
        <v>12750</v>
      </c>
      <c r="I889" s="240">
        <f t="shared" si="92"/>
        <v>22750</v>
      </c>
      <c r="J889" s="240">
        <f t="shared" si="92"/>
        <v>25000</v>
      </c>
      <c r="K889" s="240">
        <f t="shared" si="92"/>
        <v>25000</v>
      </c>
    </row>
    <row r="890" spans="1:11" x14ac:dyDescent="0.25">
      <c r="A890" s="193"/>
      <c r="B890" s="193"/>
      <c r="C890" s="194"/>
      <c r="D890" s="194"/>
      <c r="E890" s="194"/>
      <c r="F890" s="194"/>
      <c r="G890" s="297"/>
      <c r="H890" s="297"/>
      <c r="I890" s="297"/>
      <c r="J890" s="171"/>
    </row>
    <row r="891" spans="1:11" x14ac:dyDescent="0.25">
      <c r="A891" s="328"/>
      <c r="B891" s="348"/>
      <c r="C891" s="348"/>
      <c r="D891" s="328"/>
      <c r="E891" s="328"/>
      <c r="F891" s="348"/>
      <c r="G891" s="328"/>
      <c r="H891" s="330"/>
      <c r="I891" s="348" t="s">
        <v>856</v>
      </c>
      <c r="J891" s="348" t="s">
        <v>1093</v>
      </c>
      <c r="K891" s="348" t="s">
        <v>1077</v>
      </c>
    </row>
    <row r="892" spans="1:11" x14ac:dyDescent="0.25">
      <c r="A892" s="382"/>
      <c r="B892" s="382"/>
      <c r="C892" s="330" t="s">
        <v>27</v>
      </c>
      <c r="D892" s="330" t="s">
        <v>30</v>
      </c>
      <c r="E892" s="330" t="s">
        <v>29</v>
      </c>
      <c r="F892" s="330" t="s">
        <v>405</v>
      </c>
      <c r="G892" s="383" t="s">
        <v>846</v>
      </c>
      <c r="H892" s="348" t="s">
        <v>855</v>
      </c>
      <c r="I892" s="384">
        <v>43008</v>
      </c>
      <c r="J892" s="383" t="s">
        <v>857</v>
      </c>
      <c r="K892" s="348" t="s">
        <v>1076</v>
      </c>
    </row>
    <row r="893" spans="1:11" x14ac:dyDescent="0.25">
      <c r="A893" s="98"/>
      <c r="B893" s="98" t="s">
        <v>1085</v>
      </c>
      <c r="C893" s="98"/>
      <c r="D893" s="98"/>
      <c r="E893" s="98"/>
      <c r="F893" s="98"/>
      <c r="G893" s="163"/>
      <c r="H893" s="163"/>
      <c r="I893" s="163"/>
      <c r="J893" s="171"/>
    </row>
    <row r="894" spans="1:11" x14ac:dyDescent="0.25">
      <c r="A894" s="108"/>
      <c r="B894" s="108" t="s">
        <v>679</v>
      </c>
      <c r="C894" s="145">
        <v>0</v>
      </c>
      <c r="D894" s="145"/>
      <c r="E894" s="145"/>
      <c r="F894" s="145">
        <v>275000</v>
      </c>
      <c r="G894" s="113"/>
      <c r="H894" s="113"/>
      <c r="I894" s="113"/>
      <c r="J894" s="113"/>
      <c r="K894" s="108"/>
    </row>
    <row r="895" spans="1:11" x14ac:dyDescent="0.25">
      <c r="A895" s="116"/>
      <c r="B895" s="116" t="s">
        <v>916</v>
      </c>
      <c r="C895" s="145">
        <v>0</v>
      </c>
      <c r="D895" s="145"/>
      <c r="E895" s="145"/>
      <c r="F895" s="145">
        <v>0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</row>
    <row r="896" spans="1:11" ht="18.75" thickBot="1" x14ac:dyDescent="0.3">
      <c r="A896" s="116" t="s">
        <v>903</v>
      </c>
      <c r="B896" s="116" t="s">
        <v>879</v>
      </c>
      <c r="C896" s="145">
        <v>0</v>
      </c>
      <c r="D896" s="145"/>
      <c r="E896" s="144"/>
      <c r="F896" s="145">
        <v>0</v>
      </c>
      <c r="G896" s="120">
        <v>316250</v>
      </c>
      <c r="H896" s="120">
        <f>157+74+12750</f>
        <v>12981</v>
      </c>
      <c r="I896" s="120">
        <v>22981</v>
      </c>
      <c r="J896" s="120">
        <v>25000</v>
      </c>
      <c r="K896" s="120">
        <v>25000</v>
      </c>
    </row>
    <row r="897" spans="1:11" ht="18.75" thickBot="1" x14ac:dyDescent="0.3">
      <c r="A897" s="532" t="s">
        <v>13</v>
      </c>
      <c r="B897" s="533"/>
      <c r="C897" s="239">
        <f>SUM(C894:C896)</f>
        <v>0</v>
      </c>
      <c r="D897" s="239"/>
      <c r="E897" s="239"/>
      <c r="F897" s="239">
        <f>SUM(F894:F896)</f>
        <v>275000</v>
      </c>
      <c r="G897" s="240">
        <f>SUM(G894:G896)</f>
        <v>316250</v>
      </c>
      <c r="H897" s="240">
        <f>SUM(H894:H896)</f>
        <v>12981</v>
      </c>
      <c r="I897" s="240">
        <f>SUM(I894:I896)</f>
        <v>22981</v>
      </c>
      <c r="J897" s="240">
        <f>SUM(J894:J896)</f>
        <v>25000</v>
      </c>
      <c r="K897" s="385">
        <f>SUM(K895:K896)</f>
        <v>25000</v>
      </c>
    </row>
    <row r="898" spans="1:11" x14ac:dyDescent="0.25">
      <c r="A898" s="98"/>
      <c r="B898" s="98"/>
      <c r="C898" s="98"/>
      <c r="D898" s="98"/>
      <c r="E898" s="98"/>
      <c r="F898" s="144"/>
      <c r="G898" s="163"/>
      <c r="H898" s="163"/>
      <c r="I898" s="163"/>
      <c r="J898" s="163"/>
    </row>
    <row r="899" spans="1:11" x14ac:dyDescent="0.25">
      <c r="A899" s="98"/>
      <c r="B899" s="98"/>
      <c r="C899" s="98"/>
      <c r="D899" s="98"/>
      <c r="E899" s="98"/>
      <c r="F899" s="144"/>
      <c r="G899" s="163"/>
      <c r="H899" s="163"/>
      <c r="I899" s="163"/>
      <c r="J899" s="163"/>
    </row>
    <row r="900" spans="1:11" x14ac:dyDescent="0.25">
      <c r="A900" s="98"/>
      <c r="B900" s="98"/>
      <c r="C900" s="98"/>
      <c r="D900" s="98"/>
      <c r="E900" s="98"/>
      <c r="F900" s="144"/>
      <c r="G900" s="163"/>
      <c r="H900" s="163"/>
      <c r="I900" s="163"/>
      <c r="J900" s="163"/>
    </row>
    <row r="901" spans="1:11" x14ac:dyDescent="0.25">
      <c r="A901" s="98"/>
      <c r="B901" s="98"/>
      <c r="C901" s="98"/>
      <c r="D901" s="98"/>
      <c r="E901" s="98"/>
      <c r="F901" s="144"/>
      <c r="G901" s="163"/>
      <c r="H901" s="163"/>
      <c r="I901" s="163"/>
      <c r="J901" s="163"/>
    </row>
    <row r="902" spans="1:11" x14ac:dyDescent="0.25">
      <c r="A902" s="98"/>
      <c r="B902" s="98"/>
      <c r="C902" s="98"/>
      <c r="D902" s="98"/>
      <c r="E902" s="98"/>
      <c r="F902" s="144"/>
      <c r="G902" s="163"/>
      <c r="H902" s="163"/>
      <c r="I902" s="163"/>
      <c r="J902" s="163"/>
    </row>
    <row r="903" spans="1:11" x14ac:dyDescent="0.25">
      <c r="A903" s="98"/>
      <c r="B903" s="98"/>
      <c r="C903" s="98"/>
      <c r="D903" s="98"/>
      <c r="E903" s="98"/>
      <c r="F903" s="144"/>
      <c r="G903" s="163"/>
      <c r="H903" s="163"/>
      <c r="I903" s="163"/>
      <c r="J903" s="163"/>
    </row>
    <row r="904" spans="1:11" x14ac:dyDescent="0.25">
      <c r="A904" s="514"/>
      <c r="B904" s="514"/>
      <c r="C904" s="514"/>
      <c r="D904" s="514"/>
      <c r="E904" s="514"/>
      <c r="F904" s="514"/>
      <c r="G904" s="514"/>
      <c r="H904" s="514"/>
      <c r="I904" s="386"/>
      <c r="J904" s="145"/>
    </row>
    <row r="905" spans="1:11" x14ac:dyDescent="0.25">
      <c r="A905" s="347" t="s">
        <v>904</v>
      </c>
      <c r="B905" s="102"/>
      <c r="C905" s="328"/>
      <c r="D905" s="328"/>
      <c r="E905" s="328"/>
      <c r="F905" s="348"/>
      <c r="G905" s="99"/>
      <c r="H905" s="100"/>
      <c r="I905" s="101" t="str">
        <f>+I2</f>
        <v xml:space="preserve"> Estimated</v>
      </c>
      <c r="J905" s="101" t="s">
        <v>1093</v>
      </c>
      <c r="K905" s="101" t="s">
        <v>1077</v>
      </c>
    </row>
    <row r="906" spans="1:11" x14ac:dyDescent="0.25">
      <c r="A906" s="373" t="s">
        <v>829</v>
      </c>
      <c r="B906" s="387"/>
      <c r="C906" s="330" t="s">
        <v>27</v>
      </c>
      <c r="D906" s="330" t="s">
        <v>30</v>
      </c>
      <c r="E906" s="330" t="s">
        <v>29</v>
      </c>
      <c r="F906" s="330" t="s">
        <v>405</v>
      </c>
      <c r="G906" s="105" t="str">
        <f>+G3</f>
        <v>Budget 2016-17</v>
      </c>
      <c r="H906" s="105" t="str">
        <f>+H3</f>
        <v>Actual 5/31/17</v>
      </c>
      <c r="I906" s="106">
        <f>+I3</f>
        <v>43008</v>
      </c>
      <c r="J906" s="105" t="str">
        <f>+J3</f>
        <v>Budget 2017-18</v>
      </c>
      <c r="K906" s="105" t="s">
        <v>1076</v>
      </c>
    </row>
    <row r="907" spans="1:11" x14ac:dyDescent="0.25">
      <c r="A907" s="108">
        <v>301.02</v>
      </c>
      <c r="B907" s="388" t="s">
        <v>905</v>
      </c>
      <c r="C907" s="98"/>
      <c r="D907" s="98"/>
      <c r="E907" s="98"/>
      <c r="F907" s="98"/>
      <c r="G907" s="113">
        <v>0</v>
      </c>
      <c r="H907" s="113">
        <v>509</v>
      </c>
      <c r="I907" s="113">
        <v>509</v>
      </c>
      <c r="J907" s="113">
        <v>600</v>
      </c>
      <c r="K907" s="113">
        <v>600</v>
      </c>
    </row>
    <row r="908" spans="1:11" x14ac:dyDescent="0.25">
      <c r="A908" s="116">
        <v>30105</v>
      </c>
      <c r="B908" s="338" t="s">
        <v>906</v>
      </c>
      <c r="C908" s="145">
        <v>0</v>
      </c>
      <c r="D908" s="145"/>
      <c r="E908" s="144"/>
      <c r="F908" s="145">
        <v>275000</v>
      </c>
      <c r="G908" s="120">
        <v>0</v>
      </c>
      <c r="H908" s="120">
        <v>1262</v>
      </c>
      <c r="I908" s="120">
        <v>1262</v>
      </c>
      <c r="J908" s="120">
        <v>1300</v>
      </c>
      <c r="K908" s="120">
        <v>1300</v>
      </c>
    </row>
    <row r="909" spans="1:11" x14ac:dyDescent="0.25">
      <c r="A909" s="116">
        <v>301.06</v>
      </c>
      <c r="B909" s="338" t="s">
        <v>907</v>
      </c>
      <c r="C909" s="145"/>
      <c r="D909" s="145"/>
      <c r="E909" s="144"/>
      <c r="F909" s="145"/>
      <c r="G909" s="120">
        <v>0</v>
      </c>
      <c r="H909" s="120">
        <v>106</v>
      </c>
      <c r="I909" s="120">
        <v>106</v>
      </c>
      <c r="J909" s="120">
        <v>200</v>
      </c>
      <c r="K909" s="120">
        <v>200</v>
      </c>
    </row>
    <row r="910" spans="1:11" x14ac:dyDescent="0.25">
      <c r="A910" s="116">
        <v>301.07</v>
      </c>
      <c r="B910" s="338" t="s">
        <v>908</v>
      </c>
      <c r="C910" s="145">
        <v>0</v>
      </c>
      <c r="D910" s="145"/>
      <c r="E910" s="144"/>
      <c r="F910" s="145">
        <v>0</v>
      </c>
      <c r="G910" s="187">
        <v>0</v>
      </c>
      <c r="H910" s="120">
        <v>724</v>
      </c>
      <c r="I910" s="120">
        <v>724</v>
      </c>
      <c r="J910" s="187">
        <v>750</v>
      </c>
      <c r="K910" s="187">
        <v>750</v>
      </c>
    </row>
    <row r="911" spans="1:11" x14ac:dyDescent="0.25">
      <c r="A911" s="116">
        <v>307.08</v>
      </c>
      <c r="B911" s="338" t="s">
        <v>909</v>
      </c>
      <c r="C911" s="145">
        <v>0</v>
      </c>
      <c r="D911" s="145"/>
      <c r="E911" s="144"/>
      <c r="F911" s="145">
        <v>0</v>
      </c>
      <c r="G911" s="120">
        <v>0</v>
      </c>
      <c r="H911" s="120">
        <v>1801</v>
      </c>
      <c r="I911" s="120">
        <v>1801</v>
      </c>
      <c r="J911" s="120">
        <v>2000</v>
      </c>
      <c r="K911" s="120">
        <v>2000</v>
      </c>
    </row>
    <row r="912" spans="1:11" x14ac:dyDescent="0.25">
      <c r="A912" s="389" t="s">
        <v>933</v>
      </c>
      <c r="B912" s="125" t="s">
        <v>141</v>
      </c>
      <c r="C912" s="145"/>
      <c r="D912" s="145"/>
      <c r="E912" s="144"/>
      <c r="F912" s="145">
        <v>0</v>
      </c>
      <c r="G912" s="129">
        <v>0</v>
      </c>
      <c r="H912" s="129">
        <v>2</v>
      </c>
      <c r="I912" s="129">
        <v>10</v>
      </c>
      <c r="J912" s="129">
        <v>10</v>
      </c>
      <c r="K912" s="129">
        <v>10</v>
      </c>
    </row>
    <row r="913" spans="1:11" x14ac:dyDescent="0.25">
      <c r="A913" s="390"/>
      <c r="B913" s="391" t="s">
        <v>910</v>
      </c>
      <c r="C913" s="194">
        <v>0</v>
      </c>
      <c r="D913" s="194"/>
      <c r="E913" s="194"/>
      <c r="F913" s="194">
        <f>SUM(F908:F912)</f>
        <v>275000</v>
      </c>
      <c r="G913" s="392">
        <f>SUM(G907:G912)</f>
        <v>0</v>
      </c>
      <c r="H913" s="392">
        <f t="shared" ref="H913:J913" si="93">SUM(H907:H912)</f>
        <v>4404</v>
      </c>
      <c r="I913" s="392">
        <f t="shared" si="93"/>
        <v>4412</v>
      </c>
      <c r="J913" s="392">
        <f t="shared" si="93"/>
        <v>4860</v>
      </c>
      <c r="K913" s="392">
        <f>SUM(K907:K912)</f>
        <v>4860</v>
      </c>
    </row>
    <row r="914" spans="1:11" x14ac:dyDescent="0.25">
      <c r="A914" s="193"/>
      <c r="B914" s="193"/>
      <c r="C914" s="194"/>
      <c r="D914" s="194"/>
      <c r="E914" s="194"/>
      <c r="F914" s="194"/>
      <c r="G914" s="297"/>
      <c r="H914" s="297"/>
      <c r="I914" s="297"/>
      <c r="J914" s="171"/>
    </row>
    <row r="915" spans="1:11" x14ac:dyDescent="0.25">
      <c r="A915" s="328"/>
      <c r="B915" s="348"/>
      <c r="C915" s="348"/>
      <c r="D915" s="328"/>
      <c r="E915" s="328"/>
      <c r="F915" s="348"/>
      <c r="G915" s="328"/>
      <c r="H915" s="330"/>
      <c r="I915" s="348" t="str">
        <f>+I2</f>
        <v xml:space="preserve"> Estimated</v>
      </c>
      <c r="J915" s="348" t="s">
        <v>1093</v>
      </c>
      <c r="K915" s="101" t="s">
        <v>1077</v>
      </c>
    </row>
    <row r="916" spans="1:11" x14ac:dyDescent="0.25">
      <c r="A916" s="382" t="s">
        <v>830</v>
      </c>
      <c r="B916" s="382"/>
      <c r="C916" s="330" t="s">
        <v>27</v>
      </c>
      <c r="D916" s="330" t="s">
        <v>30</v>
      </c>
      <c r="E916" s="330" t="s">
        <v>29</v>
      </c>
      <c r="F916" s="330" t="s">
        <v>405</v>
      </c>
      <c r="G916" s="383" t="str">
        <f>+G3</f>
        <v>Budget 2016-17</v>
      </c>
      <c r="H916" s="348" t="str">
        <f>+H3</f>
        <v>Actual 5/31/17</v>
      </c>
      <c r="I916" s="384">
        <f>+I3</f>
        <v>43008</v>
      </c>
      <c r="J916" s="383" t="str">
        <f>+J3</f>
        <v>Budget 2017-18</v>
      </c>
      <c r="K916" s="105" t="s">
        <v>1076</v>
      </c>
    </row>
    <row r="917" spans="1:11" x14ac:dyDescent="0.25">
      <c r="A917" s="108"/>
      <c r="B917" s="108"/>
      <c r="C917" s="98"/>
      <c r="D917" s="98"/>
      <c r="E917" s="98"/>
      <c r="F917" s="98"/>
      <c r="G917" s="113"/>
      <c r="H917" s="113"/>
      <c r="I917" s="113"/>
      <c r="J917" s="393"/>
      <c r="K917" s="108"/>
    </row>
    <row r="918" spans="1:11" x14ac:dyDescent="0.25">
      <c r="A918" s="116"/>
      <c r="B918" s="116" t="s">
        <v>912</v>
      </c>
      <c r="C918" s="145">
        <v>0</v>
      </c>
      <c r="D918" s="145"/>
      <c r="E918" s="145"/>
      <c r="F918" s="145">
        <v>275000</v>
      </c>
      <c r="G918" s="120">
        <v>0</v>
      </c>
      <c r="H918" s="120">
        <v>0</v>
      </c>
      <c r="I918" s="120">
        <f>4412-2500</f>
        <v>1912</v>
      </c>
      <c r="J918" s="120">
        <v>2000</v>
      </c>
      <c r="K918" s="120">
        <v>2000</v>
      </c>
    </row>
    <row r="919" spans="1:11" x14ac:dyDescent="0.25">
      <c r="A919" s="116"/>
      <c r="B919" s="116" t="s">
        <v>911</v>
      </c>
      <c r="C919" s="145">
        <v>0</v>
      </c>
      <c r="D919" s="145"/>
      <c r="E919" s="145"/>
      <c r="F919" s="145">
        <v>0</v>
      </c>
      <c r="G919" s="120">
        <v>0</v>
      </c>
      <c r="H919" s="120">
        <v>0</v>
      </c>
      <c r="I919" s="120">
        <v>0</v>
      </c>
      <c r="J919" s="120">
        <v>0</v>
      </c>
      <c r="K919" s="116">
        <v>0</v>
      </c>
    </row>
    <row r="920" spans="1:11" x14ac:dyDescent="0.25">
      <c r="A920" s="125"/>
      <c r="B920" s="125"/>
      <c r="C920" s="145">
        <v>0</v>
      </c>
      <c r="D920" s="145"/>
      <c r="E920" s="144"/>
      <c r="F920" s="145">
        <v>0</v>
      </c>
      <c r="G920" s="129">
        <v>0</v>
      </c>
      <c r="H920" s="129">
        <v>0</v>
      </c>
      <c r="I920" s="129">
        <v>0</v>
      </c>
      <c r="J920" s="129">
        <v>0</v>
      </c>
      <c r="K920" s="125">
        <v>0</v>
      </c>
    </row>
    <row r="921" spans="1:11" x14ac:dyDescent="0.25">
      <c r="A921" s="390"/>
      <c r="B921" s="391" t="s">
        <v>13</v>
      </c>
      <c r="C921" s="194">
        <f>SUM(C918:C920)</f>
        <v>0</v>
      </c>
      <c r="D921" s="194"/>
      <c r="E921" s="194"/>
      <c r="F921" s="194">
        <f t="shared" ref="F921:K921" si="94">SUM(F918:F920)</f>
        <v>275000</v>
      </c>
      <c r="G921" s="392">
        <f t="shared" si="94"/>
        <v>0</v>
      </c>
      <c r="H921" s="392">
        <f t="shared" si="94"/>
        <v>0</v>
      </c>
      <c r="I921" s="392">
        <f t="shared" si="94"/>
        <v>1912</v>
      </c>
      <c r="J921" s="392">
        <f t="shared" si="94"/>
        <v>2000</v>
      </c>
      <c r="K921" s="392">
        <f t="shared" si="94"/>
        <v>2000</v>
      </c>
    </row>
    <row r="922" spans="1:11" x14ac:dyDescent="0.25">
      <c r="A922" s="98"/>
      <c r="B922" s="98"/>
      <c r="C922" s="145"/>
      <c r="D922" s="145"/>
      <c r="E922" s="145"/>
      <c r="F922" s="145"/>
      <c r="G922" s="163"/>
      <c r="H922" s="163"/>
      <c r="I922" s="163"/>
      <c r="J922" s="171"/>
    </row>
    <row r="923" spans="1:11" x14ac:dyDescent="0.25">
      <c r="A923" s="98"/>
      <c r="B923" s="98"/>
      <c r="C923" s="145"/>
      <c r="D923" s="145"/>
      <c r="E923" s="145"/>
      <c r="F923" s="145"/>
      <c r="G923" s="163"/>
      <c r="H923" s="163"/>
      <c r="I923" s="163"/>
      <c r="J923" s="171"/>
    </row>
    <row r="924" spans="1:11" x14ac:dyDescent="0.25">
      <c r="A924" s="98"/>
      <c r="B924" s="98"/>
      <c r="C924" s="145"/>
      <c r="D924" s="145"/>
      <c r="E924" s="145"/>
      <c r="F924" s="145"/>
      <c r="G924" s="163"/>
      <c r="H924" s="163"/>
      <c r="I924" s="163"/>
      <c r="J924" s="171"/>
    </row>
    <row r="925" spans="1:11" x14ac:dyDescent="0.25">
      <c r="A925" s="228"/>
      <c r="B925" s="228"/>
      <c r="C925" s="156"/>
      <c r="D925" s="156"/>
      <c r="E925" s="156"/>
      <c r="F925" s="156" t="s">
        <v>1092</v>
      </c>
      <c r="G925" s="310"/>
      <c r="H925" s="310"/>
      <c r="I925" s="310"/>
      <c r="J925" s="394"/>
    </row>
    <row r="926" spans="1:11" x14ac:dyDescent="0.25">
      <c r="A926" s="228"/>
      <c r="B926" s="281" t="s">
        <v>678</v>
      </c>
      <c r="C926" s="156"/>
      <c r="D926" s="156"/>
      <c r="E926" s="156"/>
      <c r="F926" s="156"/>
      <c r="G926" s="395"/>
      <c r="H926" s="346"/>
      <c r="I926" s="310"/>
      <c r="J926" s="163"/>
    </row>
    <row r="927" spans="1:11" x14ac:dyDescent="0.25">
      <c r="A927" s="98"/>
      <c r="B927" s="98"/>
      <c r="C927" s="98"/>
      <c r="D927" s="98"/>
      <c r="E927" s="98"/>
      <c r="F927" s="98"/>
      <c r="G927" s="163"/>
      <c r="H927" s="163"/>
      <c r="I927" s="163"/>
      <c r="J927" s="396"/>
    </row>
    <row r="928" spans="1:11" x14ac:dyDescent="0.25">
      <c r="A928" s="98"/>
      <c r="B928" s="193" t="s">
        <v>33</v>
      </c>
      <c r="C928" s="145"/>
      <c r="D928" s="145"/>
      <c r="E928" s="145"/>
      <c r="F928" s="397" t="s">
        <v>51</v>
      </c>
      <c r="G928" s="298" t="s">
        <v>51</v>
      </c>
      <c r="H928" s="298" t="s">
        <v>52</v>
      </c>
      <c r="I928" s="298" t="s">
        <v>53</v>
      </c>
      <c r="K928" s="394" t="s">
        <v>34</v>
      </c>
    </row>
    <row r="929" spans="1:12" x14ac:dyDescent="0.25">
      <c r="A929" s="98"/>
      <c r="B929" s="98"/>
      <c r="C929" s="145" t="s">
        <v>12</v>
      </c>
      <c r="D929" s="145"/>
      <c r="E929" s="145"/>
      <c r="F929" s="145"/>
      <c r="G929" s="163"/>
      <c r="H929" s="163"/>
      <c r="I929" s="163"/>
      <c r="K929" s="396"/>
    </row>
    <row r="930" spans="1:12" x14ac:dyDescent="0.25">
      <c r="A930" s="98"/>
      <c r="B930" s="98" t="s">
        <v>35</v>
      </c>
      <c r="C930" s="167"/>
      <c r="D930" s="145"/>
      <c r="E930" s="145"/>
      <c r="F930" s="203">
        <v>145000</v>
      </c>
      <c r="G930" s="310">
        <v>160000</v>
      </c>
      <c r="H930" s="310">
        <v>104156</v>
      </c>
      <c r="I930" s="242">
        <v>500</v>
      </c>
      <c r="K930" s="242">
        <f>SUM(G930+H930+I930)</f>
        <v>264656</v>
      </c>
    </row>
    <row r="931" spans="1:12" x14ac:dyDescent="0.25">
      <c r="A931" s="98"/>
      <c r="B931" s="98" t="s">
        <v>504</v>
      </c>
      <c r="C931" s="167"/>
      <c r="D931" s="145"/>
      <c r="E931" s="145"/>
      <c r="F931" s="203">
        <v>40000</v>
      </c>
      <c r="G931" s="310">
        <v>270000</v>
      </c>
      <c r="H931" s="310">
        <v>50776</v>
      </c>
      <c r="I931" s="242">
        <v>500</v>
      </c>
      <c r="K931" s="242">
        <f>SUM(G931+H931+I931)</f>
        <v>321276</v>
      </c>
    </row>
    <row r="932" spans="1:12" x14ac:dyDescent="0.25">
      <c r="A932" s="98"/>
      <c r="B932" s="98" t="s">
        <v>974</v>
      </c>
      <c r="C932" s="167"/>
      <c r="D932" s="145"/>
      <c r="E932" s="145"/>
      <c r="F932" s="203"/>
      <c r="G932" s="310">
        <v>80000</v>
      </c>
      <c r="H932" s="310">
        <v>66050</v>
      </c>
      <c r="I932" s="242">
        <v>500</v>
      </c>
      <c r="K932" s="242">
        <f t="shared" ref="K932:K933" si="95">SUM(G932+H932+I932)</f>
        <v>146550</v>
      </c>
    </row>
    <row r="933" spans="1:12" x14ac:dyDescent="0.25">
      <c r="A933" s="98"/>
      <c r="B933" s="98" t="s">
        <v>913</v>
      </c>
      <c r="C933" s="145"/>
      <c r="D933" s="145"/>
      <c r="E933" s="145"/>
      <c r="F933" s="145"/>
      <c r="G933" s="163">
        <v>640000</v>
      </c>
      <c r="H933" s="163"/>
      <c r="I933" s="163">
        <v>500</v>
      </c>
      <c r="K933" s="242">
        <f t="shared" si="95"/>
        <v>640500</v>
      </c>
    </row>
    <row r="934" spans="1:12" x14ac:dyDescent="0.25">
      <c r="A934" s="98"/>
      <c r="B934" s="193" t="s">
        <v>54</v>
      </c>
      <c r="C934" s="98"/>
      <c r="D934" s="98"/>
      <c r="E934" s="98"/>
      <c r="F934" s="144">
        <f>SUM(F930:F933)</f>
        <v>185000</v>
      </c>
      <c r="G934" s="163">
        <f>SUM(G930:G933)</f>
        <v>1150000</v>
      </c>
      <c r="H934" s="163">
        <f>SUM(H930:H933)</f>
        <v>220982</v>
      </c>
      <c r="I934" s="163">
        <f>SUM(I930:I933)</f>
        <v>2000</v>
      </c>
      <c r="K934" s="163">
        <f>SUM(K930:K933)</f>
        <v>1372982</v>
      </c>
    </row>
    <row r="935" spans="1:12" x14ac:dyDescent="0.25">
      <c r="A935" s="98"/>
      <c r="B935" s="98"/>
      <c r="C935" s="98"/>
      <c r="D935" s="98"/>
      <c r="E935" s="98"/>
      <c r="F935" s="177"/>
      <c r="G935" s="163"/>
      <c r="H935" s="163"/>
      <c r="I935" s="163"/>
      <c r="J935" s="163"/>
    </row>
    <row r="936" spans="1:12" x14ac:dyDescent="0.25">
      <c r="A936" s="98"/>
      <c r="B936" s="98"/>
      <c r="C936" s="98"/>
      <c r="D936" s="98"/>
      <c r="E936" s="98"/>
      <c r="F936" s="144"/>
      <c r="G936" s="398"/>
      <c r="H936" s="398"/>
      <c r="I936" s="398"/>
      <c r="J936" s="242"/>
    </row>
    <row r="937" spans="1:12" x14ac:dyDescent="0.25">
      <c r="A937" s="228"/>
      <c r="B937" s="228"/>
      <c r="C937" s="228"/>
      <c r="D937" s="228"/>
      <c r="E937" s="228"/>
      <c r="F937" s="399" t="s">
        <v>55</v>
      </c>
      <c r="G937" s="400"/>
      <c r="H937" s="400"/>
      <c r="I937" s="400"/>
      <c r="J937" s="242"/>
    </row>
    <row r="938" spans="1:12" x14ac:dyDescent="0.25">
      <c r="A938" s="228"/>
      <c r="B938" s="228"/>
      <c r="C938" s="228"/>
      <c r="D938" s="228"/>
      <c r="E938" s="228"/>
      <c r="F938" s="178"/>
      <c r="G938" s="310"/>
      <c r="H938" s="310"/>
      <c r="I938" s="310"/>
      <c r="J938" s="242"/>
    </row>
    <row r="939" spans="1:12" x14ac:dyDescent="0.25">
      <c r="A939" s="98"/>
      <c r="B939" s="98"/>
      <c r="C939" s="98"/>
      <c r="D939" s="98"/>
      <c r="E939" s="98"/>
      <c r="F939" s="144"/>
      <c r="G939" s="163"/>
      <c r="H939" s="163"/>
      <c r="I939" s="163"/>
      <c r="J939" s="242"/>
    </row>
    <row r="940" spans="1:12" x14ac:dyDescent="0.25">
      <c r="A940" s="98"/>
      <c r="B940" s="145"/>
      <c r="C940" s="145"/>
      <c r="D940" s="145"/>
      <c r="E940" s="145"/>
      <c r="F940" s="401" t="s">
        <v>56</v>
      </c>
      <c r="G940" s="394" t="s">
        <v>356</v>
      </c>
      <c r="H940" s="394" t="s">
        <v>505</v>
      </c>
      <c r="I940" s="394" t="s">
        <v>858</v>
      </c>
      <c r="J940" s="394" t="s">
        <v>914</v>
      </c>
      <c r="K940" s="394" t="s">
        <v>13</v>
      </c>
    </row>
    <row r="941" spans="1:12" x14ac:dyDescent="0.25">
      <c r="A941" s="98"/>
      <c r="B941" s="402" t="s">
        <v>57</v>
      </c>
      <c r="C941" s="145"/>
      <c r="D941" s="145"/>
      <c r="E941" s="145"/>
      <c r="F941" s="145"/>
      <c r="G941" s="163"/>
      <c r="H941" s="163"/>
      <c r="I941" s="163"/>
      <c r="K941" s="242"/>
    </row>
    <row r="942" spans="1:12" x14ac:dyDescent="0.25">
      <c r="A942" s="98"/>
      <c r="B942" s="145" t="s">
        <v>58</v>
      </c>
      <c r="C942" s="145"/>
      <c r="D942" s="145"/>
      <c r="E942" s="145"/>
      <c r="F942" s="156">
        <v>164000</v>
      </c>
      <c r="G942" s="310">
        <v>201000</v>
      </c>
      <c r="H942" s="310">
        <v>0</v>
      </c>
      <c r="I942" s="403">
        <v>0</v>
      </c>
      <c r="J942" s="96">
        <v>0</v>
      </c>
      <c r="K942" s="403">
        <f>SUM(G942:J942)</f>
        <v>201000</v>
      </c>
    </row>
    <row r="943" spans="1:12" x14ac:dyDescent="0.25">
      <c r="A943" s="98"/>
      <c r="B943" s="145" t="s">
        <v>59</v>
      </c>
      <c r="C943" s="145"/>
      <c r="D943" s="145"/>
      <c r="E943" s="145"/>
      <c r="F943" s="156">
        <v>44250</v>
      </c>
      <c r="G943" s="310">
        <f>264656-201000</f>
        <v>63656</v>
      </c>
      <c r="H943" s="310">
        <f>320776+500</f>
        <v>321276</v>
      </c>
      <c r="I943" s="403">
        <f>+K932</f>
        <v>146550</v>
      </c>
      <c r="J943" s="163">
        <f>+K933</f>
        <v>640500</v>
      </c>
      <c r="K943" s="403">
        <f t="shared" ref="K943:K944" si="96">SUM(G943:J943)</f>
        <v>1171982</v>
      </c>
    </row>
    <row r="944" spans="1:12" x14ac:dyDescent="0.25">
      <c r="A944" s="98"/>
      <c r="B944" s="145"/>
      <c r="C944" s="145"/>
      <c r="D944" s="145"/>
      <c r="E944" s="145"/>
      <c r="F944" s="156"/>
      <c r="G944" s="310"/>
      <c r="H944" s="310"/>
      <c r="I944" s="310"/>
      <c r="J944" s="98"/>
      <c r="K944" s="403">
        <f t="shared" si="96"/>
        <v>0</v>
      </c>
      <c r="L944" s="171"/>
    </row>
    <row r="945" spans="1:11" x14ac:dyDescent="0.25">
      <c r="A945" s="98"/>
      <c r="B945" s="145" t="s">
        <v>60</v>
      </c>
      <c r="C945" s="145"/>
      <c r="D945" s="145"/>
      <c r="E945" s="145"/>
      <c r="F945" s="156">
        <f>SUM(F942+F943)</f>
        <v>208250</v>
      </c>
      <c r="G945" s="310">
        <f>SUM(G942+G943)</f>
        <v>264656</v>
      </c>
      <c r="H945" s="310">
        <f>SUM(H942+H943)</f>
        <v>321276</v>
      </c>
      <c r="I945" s="310">
        <f t="shared" ref="I945:J945" si="97">SUM(I942+I943)</f>
        <v>146550</v>
      </c>
      <c r="J945" s="310">
        <f t="shared" si="97"/>
        <v>640500</v>
      </c>
      <c r="K945" s="310">
        <f>SUM(K942:K943)</f>
        <v>1372982</v>
      </c>
    </row>
    <row r="946" spans="1:11" x14ac:dyDescent="0.25">
      <c r="A946" s="98"/>
      <c r="B946" s="156"/>
      <c r="C946" s="156"/>
      <c r="D946" s="156"/>
      <c r="E946" s="156"/>
      <c r="F946" s="156"/>
      <c r="G946" s="310"/>
      <c r="H946" s="310"/>
      <c r="I946" s="310"/>
      <c r="J946" s="228"/>
      <c r="K946" s="403"/>
    </row>
    <row r="947" spans="1:11" x14ac:dyDescent="0.25">
      <c r="A947" s="98"/>
      <c r="B947" s="511" t="s">
        <v>61</v>
      </c>
      <c r="C947" s="156"/>
      <c r="D947" s="156"/>
      <c r="E947" s="156"/>
      <c r="F947" s="156"/>
      <c r="G947" s="310"/>
      <c r="H947" s="310"/>
      <c r="I947" s="310"/>
      <c r="J947" s="228"/>
      <c r="K947" s="403"/>
    </row>
    <row r="948" spans="1:11" x14ac:dyDescent="0.25">
      <c r="A948" s="98"/>
      <c r="B948" s="156" t="s">
        <v>62</v>
      </c>
      <c r="C948" s="156"/>
      <c r="D948" s="156"/>
      <c r="E948" s="156"/>
      <c r="F948" s="156">
        <v>200000</v>
      </c>
      <c r="G948" s="403">
        <v>160000</v>
      </c>
      <c r="H948" s="403">
        <v>270000</v>
      </c>
      <c r="I948" s="403">
        <v>80000</v>
      </c>
      <c r="J948" s="512">
        <v>650000</v>
      </c>
      <c r="K948" s="403">
        <f t="shared" ref="K948:K949" si="98">SUM(G948:J948)</f>
        <v>1160000</v>
      </c>
    </row>
    <row r="949" spans="1:11" x14ac:dyDescent="0.25">
      <c r="A949" s="98"/>
      <c r="B949" s="156" t="s">
        <v>63</v>
      </c>
      <c r="C949" s="156"/>
      <c r="D949" s="156"/>
      <c r="E949" s="156"/>
      <c r="F949" s="156">
        <v>8250</v>
      </c>
      <c r="G949" s="403">
        <f>500+104156</f>
        <v>104656</v>
      </c>
      <c r="H949" s="310">
        <f>50776+500</f>
        <v>51276</v>
      </c>
      <c r="I949" s="310">
        <f>66050+500</f>
        <v>66550</v>
      </c>
      <c r="J949" s="228">
        <v>500</v>
      </c>
      <c r="K949" s="403">
        <f t="shared" si="98"/>
        <v>222982</v>
      </c>
    </row>
    <row r="950" spans="1:11" x14ac:dyDescent="0.25">
      <c r="A950" s="98"/>
      <c r="B950" s="156"/>
      <c r="C950" s="156"/>
      <c r="D950" s="156"/>
      <c r="E950" s="156"/>
      <c r="F950" s="156"/>
      <c r="G950" s="310"/>
      <c r="H950" s="310"/>
      <c r="I950" s="310"/>
      <c r="J950" s="228"/>
      <c r="K950" s="403"/>
    </row>
    <row r="951" spans="1:11" x14ac:dyDescent="0.25">
      <c r="A951" s="98"/>
      <c r="B951" s="156" t="s">
        <v>60</v>
      </c>
      <c r="C951" s="156"/>
      <c r="D951" s="156"/>
      <c r="E951" s="156"/>
      <c r="F951" s="156">
        <f>SUM(F948:F950)</f>
        <v>208250</v>
      </c>
      <c r="G951" s="310">
        <f>SUM(G948:G950)</f>
        <v>264656</v>
      </c>
      <c r="H951" s="310">
        <f>SUM(H948:H950)</f>
        <v>321276</v>
      </c>
      <c r="I951" s="310">
        <f t="shared" ref="I951:J951" si="99">SUM(I948:I950)</f>
        <v>146550</v>
      </c>
      <c r="J951" s="310">
        <f t="shared" si="99"/>
        <v>650500</v>
      </c>
      <c r="K951" s="403">
        <f>SUM(K948+K949)</f>
        <v>1382982</v>
      </c>
    </row>
    <row r="952" spans="1:11" x14ac:dyDescent="0.25">
      <c r="A952" s="404" t="str">
        <f ca="1">CELL("filename")</f>
        <v>C:\Users\Amanda.KENEDYCITY\Desktop\[Copy of Proposed Budget 2017-2018.xlsx]Proposed Budget</v>
      </c>
      <c r="B952" s="145"/>
      <c r="C952" s="145"/>
      <c r="D952" s="145"/>
      <c r="E952" s="145"/>
      <c r="F952" s="145"/>
      <c r="G952" s="163"/>
      <c r="H952" s="163"/>
      <c r="I952" s="163"/>
      <c r="J952" s="242"/>
    </row>
    <row r="953" spans="1:11" x14ac:dyDescent="0.25">
      <c r="A953" s="98"/>
      <c r="B953" s="145"/>
      <c r="C953" s="145"/>
      <c r="D953" s="145"/>
      <c r="E953" s="145"/>
      <c r="F953" s="145"/>
      <c r="G953" s="163"/>
      <c r="H953" s="163"/>
      <c r="I953" s="163"/>
      <c r="J953" s="163"/>
    </row>
    <row r="954" spans="1:11" x14ac:dyDescent="0.25">
      <c r="A954" s="98"/>
      <c r="B954" s="194" t="s">
        <v>343</v>
      </c>
      <c r="C954" s="145"/>
      <c r="D954" s="145"/>
      <c r="E954" s="145"/>
      <c r="F954" s="145"/>
      <c r="G954" s="163"/>
      <c r="H954" s="163"/>
      <c r="I954" s="163"/>
      <c r="J954" s="163"/>
    </row>
    <row r="955" spans="1:11" x14ac:dyDescent="0.25">
      <c r="A955" s="98"/>
      <c r="B955" s="353"/>
      <c r="C955" s="145"/>
      <c r="D955" s="145"/>
      <c r="E955" s="145"/>
      <c r="F955" s="145"/>
      <c r="G955" s="328"/>
      <c r="H955" s="330"/>
      <c r="I955" s="348" t="str">
        <f>+I2</f>
        <v xml:space="preserve"> Estimated</v>
      </c>
      <c r="J955" s="348" t="s">
        <v>1093</v>
      </c>
    </row>
    <row r="956" spans="1:11" x14ac:dyDescent="0.25">
      <c r="A956" s="98"/>
      <c r="B956" s="353" t="s">
        <v>36</v>
      </c>
      <c r="C956" s="145"/>
      <c r="D956" s="145"/>
      <c r="E956" s="145"/>
      <c r="F956" s="401" t="s">
        <v>221</v>
      </c>
      <c r="G956" s="383" t="str">
        <f>+G3</f>
        <v>Budget 2016-17</v>
      </c>
      <c r="H956" s="348" t="str">
        <f>+H3</f>
        <v>Actual 5/31/17</v>
      </c>
      <c r="I956" s="384">
        <f>+I3</f>
        <v>43008</v>
      </c>
      <c r="J956" s="383" t="str">
        <f>+J3</f>
        <v>Budget 2017-18</v>
      </c>
    </row>
    <row r="957" spans="1:11" x14ac:dyDescent="0.25">
      <c r="A957" s="98"/>
      <c r="B957" s="194"/>
      <c r="C957" s="145"/>
      <c r="D957" s="145"/>
      <c r="E957" s="145"/>
      <c r="F957" s="401"/>
      <c r="G957" s="394"/>
      <c r="H957" s="394"/>
      <c r="I957" s="394"/>
      <c r="J957" s="163"/>
    </row>
    <row r="958" spans="1:11" x14ac:dyDescent="0.25">
      <c r="A958" s="98"/>
      <c r="B958" s="145" t="s">
        <v>37</v>
      </c>
      <c r="C958" s="145"/>
      <c r="D958" s="145"/>
      <c r="E958" s="145"/>
      <c r="F958" s="203">
        <v>3630</v>
      </c>
      <c r="G958" s="403">
        <v>2863195</v>
      </c>
      <c r="H958" s="242"/>
      <c r="I958" s="403">
        <v>0</v>
      </c>
      <c r="J958" s="242">
        <f>+G976</f>
        <v>2714095</v>
      </c>
    </row>
    <row r="959" spans="1:11" x14ac:dyDescent="0.25">
      <c r="A959" s="98"/>
      <c r="B959" s="145"/>
      <c r="C959" s="145"/>
      <c r="D959" s="145"/>
      <c r="E959" s="145"/>
      <c r="F959" s="203"/>
      <c r="G959" s="242"/>
      <c r="H959" s="242"/>
      <c r="I959" s="242"/>
      <c r="J959" s="163"/>
    </row>
    <row r="960" spans="1:11" x14ac:dyDescent="0.25">
      <c r="A960" s="98"/>
      <c r="B960" s="145" t="s">
        <v>40</v>
      </c>
      <c r="C960" s="145"/>
      <c r="D960" s="145"/>
      <c r="E960" s="145"/>
      <c r="F960" s="203"/>
      <c r="G960" s="242"/>
      <c r="H960" s="242"/>
      <c r="I960" s="242"/>
      <c r="J960" s="163"/>
    </row>
    <row r="961" spans="1:12" x14ac:dyDescent="0.25">
      <c r="A961" s="98"/>
      <c r="B961" s="145"/>
      <c r="C961" s="145"/>
      <c r="D961" s="145"/>
      <c r="E961" s="145"/>
      <c r="F961" s="203"/>
      <c r="G961" s="242"/>
      <c r="H961" s="242"/>
      <c r="I961" s="242"/>
      <c r="J961" s="163"/>
    </row>
    <row r="962" spans="1:12" x14ac:dyDescent="0.25">
      <c r="A962" s="98"/>
      <c r="B962" s="145" t="s">
        <v>344</v>
      </c>
      <c r="C962" s="145"/>
      <c r="D962" s="145"/>
      <c r="E962" s="145"/>
      <c r="F962" s="203">
        <v>400000</v>
      </c>
      <c r="G962" s="242">
        <v>500000</v>
      </c>
      <c r="H962" s="405">
        <v>276371</v>
      </c>
      <c r="I962" s="242">
        <f>+H962+85000</f>
        <v>361371</v>
      </c>
      <c r="J962" s="242">
        <v>500000</v>
      </c>
    </row>
    <row r="963" spans="1:12" x14ac:dyDescent="0.25">
      <c r="A963" s="98"/>
      <c r="B963" s="145" t="s">
        <v>73</v>
      </c>
      <c r="C963" s="145"/>
      <c r="D963" s="145"/>
      <c r="E963" s="145"/>
      <c r="F963" s="203">
        <v>1000</v>
      </c>
      <c r="G963" s="242">
        <v>900</v>
      </c>
      <c r="H963" s="242">
        <v>1712</v>
      </c>
      <c r="I963" s="242">
        <v>3000</v>
      </c>
      <c r="J963" s="242">
        <v>3000</v>
      </c>
      <c r="L963" s="171"/>
    </row>
    <row r="964" spans="1:12" x14ac:dyDescent="0.25">
      <c r="A964" s="98"/>
      <c r="B964" s="145" t="s">
        <v>45</v>
      </c>
      <c r="C964" s="145"/>
      <c r="D964" s="145"/>
      <c r="E964" s="145"/>
      <c r="F964" s="203">
        <v>0</v>
      </c>
      <c r="G964" s="242">
        <v>0</v>
      </c>
      <c r="H964" s="242">
        <v>0</v>
      </c>
      <c r="I964" s="242">
        <v>0</v>
      </c>
      <c r="J964" s="242">
        <v>0</v>
      </c>
    </row>
    <row r="965" spans="1:12" x14ac:dyDescent="0.25">
      <c r="A965" s="98"/>
      <c r="B965" s="145" t="s">
        <v>345</v>
      </c>
      <c r="C965" s="145"/>
      <c r="D965" s="145"/>
      <c r="E965" s="145"/>
      <c r="F965" s="203">
        <f>SUM(F962:F964)</f>
        <v>401000</v>
      </c>
      <c r="G965" s="242">
        <f>SUM(G962:G964)</f>
        <v>500900</v>
      </c>
      <c r="H965" s="242">
        <f>SUM(H962:H964)</f>
        <v>278083</v>
      </c>
      <c r="I965" s="242">
        <f>SUM(I962:I964)</f>
        <v>364371</v>
      </c>
      <c r="J965" s="242">
        <f>SUM(J962:J964)</f>
        <v>503000</v>
      </c>
    </row>
    <row r="966" spans="1:12" x14ac:dyDescent="0.25">
      <c r="A966" s="98"/>
      <c r="B966" s="145"/>
      <c r="C966" s="145"/>
      <c r="D966" s="145"/>
      <c r="E966" s="145"/>
      <c r="F966" s="203"/>
      <c r="G966" s="242"/>
      <c r="H966" s="242"/>
      <c r="I966" s="242"/>
      <c r="J966" s="163"/>
    </row>
    <row r="967" spans="1:12" x14ac:dyDescent="0.25">
      <c r="A967" s="98"/>
      <c r="B967" s="145" t="s">
        <v>41</v>
      </c>
      <c r="C967" s="145"/>
      <c r="D967" s="145"/>
      <c r="E967" s="145"/>
      <c r="F967" s="203"/>
      <c r="G967" s="242"/>
      <c r="H967" s="242"/>
      <c r="I967" s="242"/>
      <c r="J967" s="163"/>
      <c r="K967" s="145"/>
    </row>
    <row r="968" spans="1:12" x14ac:dyDescent="0.25">
      <c r="A968" s="98"/>
      <c r="B968" s="145"/>
      <c r="C968" s="145"/>
      <c r="D968" s="145"/>
      <c r="E968" s="145"/>
      <c r="F968" s="203"/>
      <c r="G968" s="242"/>
      <c r="H968" s="242"/>
      <c r="I968" s="242"/>
      <c r="J968" s="171"/>
    </row>
    <row r="969" spans="1:12" x14ac:dyDescent="0.25">
      <c r="A969" s="98"/>
      <c r="B969" s="145" t="s">
        <v>346</v>
      </c>
      <c r="C969" s="145"/>
      <c r="D969" s="145"/>
      <c r="E969" s="145"/>
      <c r="F969" s="203">
        <v>85720</v>
      </c>
      <c r="G969" s="242">
        <v>120000</v>
      </c>
      <c r="H969" s="242">
        <v>22196</v>
      </c>
      <c r="I969" s="242">
        <f>+I962/3</f>
        <v>120457</v>
      </c>
      <c r="J969" s="242">
        <v>120000</v>
      </c>
    </row>
    <row r="970" spans="1:12" x14ac:dyDescent="0.25">
      <c r="A970" s="98"/>
      <c r="B970" s="145" t="s">
        <v>537</v>
      </c>
      <c r="C970" s="145"/>
      <c r="D970" s="145"/>
      <c r="E970" s="145"/>
      <c r="F970" s="203">
        <v>300000</v>
      </c>
      <c r="G970" s="242">
        <v>0</v>
      </c>
      <c r="H970" s="242">
        <v>0</v>
      </c>
      <c r="I970" s="403">
        <v>0</v>
      </c>
      <c r="J970" s="242">
        <v>0</v>
      </c>
    </row>
    <row r="971" spans="1:12" x14ac:dyDescent="0.25">
      <c r="A971" s="98"/>
      <c r="B971" s="145" t="s">
        <v>45</v>
      </c>
      <c r="C971" s="145"/>
      <c r="D971" s="145"/>
      <c r="E971" s="145"/>
      <c r="F971" s="203">
        <v>10000</v>
      </c>
      <c r="G971" s="242">
        <v>10000</v>
      </c>
      <c r="H971" s="242">
        <v>11482</v>
      </c>
      <c r="I971" s="403">
        <v>11482</v>
      </c>
      <c r="J971" s="242">
        <v>12000</v>
      </c>
    </row>
    <row r="972" spans="1:12" x14ac:dyDescent="0.25">
      <c r="A972" s="98"/>
      <c r="B972" s="145" t="s">
        <v>523</v>
      </c>
      <c r="C972" s="145"/>
      <c r="D972" s="145"/>
      <c r="E972" s="145"/>
      <c r="F972" s="203">
        <v>0</v>
      </c>
      <c r="G972" s="242">
        <v>20000</v>
      </c>
      <c r="H972" s="242">
        <v>48056</v>
      </c>
      <c r="I972" s="403">
        <v>58000</v>
      </c>
      <c r="J972" s="242">
        <v>60000</v>
      </c>
    </row>
    <row r="973" spans="1:12" x14ac:dyDescent="0.25">
      <c r="A973" s="98"/>
      <c r="B973" s="145" t="s">
        <v>524</v>
      </c>
      <c r="C973" s="145"/>
      <c r="D973" s="145"/>
      <c r="E973" s="145"/>
      <c r="F973" s="203">
        <v>0</v>
      </c>
      <c r="G973" s="242">
        <v>500000</v>
      </c>
      <c r="H973" s="242">
        <v>0</v>
      </c>
      <c r="I973" s="242">
        <v>0</v>
      </c>
      <c r="J973" s="242">
        <v>500000</v>
      </c>
    </row>
    <row r="974" spans="1:12" x14ac:dyDescent="0.25">
      <c r="A974" s="98"/>
      <c r="B974" s="145" t="s">
        <v>347</v>
      </c>
      <c r="C974" s="145"/>
      <c r="D974" s="145"/>
      <c r="E974" s="145"/>
      <c r="F974" s="203">
        <f>SUM(F969:F973)</f>
        <v>395720</v>
      </c>
      <c r="G974" s="242">
        <f>SUM(G969:G973)</f>
        <v>650000</v>
      </c>
      <c r="H974" s="242">
        <f>SUM(H969:H973)</f>
        <v>81734</v>
      </c>
      <c r="I974" s="242">
        <f>SUM(I969:I973)</f>
        <v>189939</v>
      </c>
      <c r="J974" s="242">
        <f>SUM(J969:J973)</f>
        <v>692000</v>
      </c>
    </row>
    <row r="975" spans="1:12" x14ac:dyDescent="0.25">
      <c r="A975" s="98"/>
      <c r="B975" s="145"/>
      <c r="C975" s="145"/>
      <c r="D975" s="145"/>
      <c r="E975" s="145"/>
      <c r="F975" s="203"/>
      <c r="G975" s="242"/>
      <c r="H975" s="242"/>
      <c r="I975" s="242"/>
      <c r="J975" s="171"/>
    </row>
    <row r="976" spans="1:12" x14ac:dyDescent="0.25">
      <c r="A976" s="98"/>
      <c r="B976" s="145" t="s">
        <v>47</v>
      </c>
      <c r="C976" s="145"/>
      <c r="D976" s="145"/>
      <c r="E976" s="145"/>
      <c r="F976" s="203">
        <f>SUM(F958+F965-F974)</f>
        <v>8910</v>
      </c>
      <c r="G976" s="403">
        <f>SUM(G958+G965-G974)</f>
        <v>2714095</v>
      </c>
      <c r="H976" s="242">
        <f>+H965-H974</f>
        <v>196349</v>
      </c>
      <c r="I976" s="242">
        <f>+I965-I974</f>
        <v>174432</v>
      </c>
      <c r="J976" s="242">
        <f>SUM(J958+J965-J974)</f>
        <v>2525095</v>
      </c>
    </row>
    <row r="977" spans="1:10" x14ac:dyDescent="0.25">
      <c r="A977" s="98"/>
      <c r="B977" s="145"/>
      <c r="C977" s="145"/>
      <c r="D977" s="145"/>
      <c r="E977" s="145"/>
      <c r="F977" s="145"/>
      <c r="G977" s="163"/>
      <c r="H977" s="163"/>
      <c r="I977" s="163"/>
      <c r="J977" s="171"/>
    </row>
    <row r="978" spans="1:10" x14ac:dyDescent="0.25">
      <c r="A978" s="98"/>
      <c r="B978" s="145"/>
      <c r="C978" s="145"/>
      <c r="D978" s="145"/>
      <c r="E978" s="145"/>
      <c r="F978" s="145"/>
      <c r="G978" s="163"/>
      <c r="H978" s="163"/>
      <c r="I978" s="163"/>
      <c r="J978" s="171"/>
    </row>
    <row r="979" spans="1:10" x14ac:dyDescent="0.25">
      <c r="A979" s="98"/>
      <c r="B979" s="194" t="s">
        <v>917</v>
      </c>
      <c r="C979" s="145"/>
      <c r="D979" s="145"/>
      <c r="E979" s="145"/>
      <c r="F979" s="145"/>
      <c r="G979" s="163"/>
      <c r="H979" s="163"/>
      <c r="I979" s="163"/>
      <c r="J979" s="171"/>
    </row>
    <row r="980" spans="1:10" x14ac:dyDescent="0.25">
      <c r="A980" s="98"/>
      <c r="B980" s="145"/>
      <c r="C980" s="145"/>
      <c r="D980" s="145"/>
      <c r="E980" s="145"/>
      <c r="F980" s="145"/>
      <c r="G980" s="163"/>
      <c r="H980" s="163"/>
      <c r="I980" s="163"/>
      <c r="J980" s="171"/>
    </row>
    <row r="981" spans="1:10" x14ac:dyDescent="0.25">
      <c r="A981" s="98"/>
      <c r="B981" s="352"/>
      <c r="C981" s="352"/>
      <c r="D981" s="352"/>
      <c r="E981" s="352"/>
      <c r="F981" s="352"/>
      <c r="G981" s="328"/>
      <c r="H981" s="330"/>
      <c r="I981" s="348" t="s">
        <v>930</v>
      </c>
      <c r="J981" s="348" t="s">
        <v>1093</v>
      </c>
    </row>
    <row r="982" spans="1:10" x14ac:dyDescent="0.25">
      <c r="A982" s="98"/>
      <c r="B982" s="406" t="s">
        <v>36</v>
      </c>
      <c r="C982" s="352"/>
      <c r="D982" s="352"/>
      <c r="E982" s="352"/>
      <c r="F982" s="407" t="s">
        <v>221</v>
      </c>
      <c r="G982" s="383" t="str">
        <f>+G3</f>
        <v>Budget 2016-17</v>
      </c>
      <c r="H982" s="348" t="str">
        <f>+H3</f>
        <v>Actual 5/31/17</v>
      </c>
      <c r="I982" s="384">
        <f>+I3</f>
        <v>43008</v>
      </c>
      <c r="J982" s="383" t="str">
        <f>+J3</f>
        <v>Budget 2017-18</v>
      </c>
    </row>
    <row r="983" spans="1:10" x14ac:dyDescent="0.25">
      <c r="A983" s="98"/>
      <c r="B983" s="145"/>
      <c r="C983" s="145"/>
      <c r="D983" s="145"/>
      <c r="E983" s="145"/>
      <c r="F983" s="145"/>
      <c r="G983" s="163"/>
      <c r="H983" s="163"/>
      <c r="I983" s="163"/>
      <c r="J983" s="171"/>
    </row>
    <row r="984" spans="1:10" x14ac:dyDescent="0.25">
      <c r="A984" s="98"/>
      <c r="B984" s="408" t="s">
        <v>37</v>
      </c>
      <c r="C984" s="145"/>
      <c r="D984" s="145"/>
      <c r="E984" s="145"/>
      <c r="F984" s="145">
        <v>0</v>
      </c>
      <c r="G984" s="163">
        <v>0</v>
      </c>
      <c r="H984" s="163"/>
      <c r="I984" s="163"/>
      <c r="J984" s="163">
        <v>1852000</v>
      </c>
    </row>
    <row r="985" spans="1:10" x14ac:dyDescent="0.25">
      <c r="A985" s="98"/>
      <c r="B985" s="145"/>
      <c r="C985" s="145"/>
      <c r="D985" s="145"/>
      <c r="E985" s="145"/>
      <c r="F985" s="145"/>
      <c r="G985" s="163"/>
      <c r="H985" s="163"/>
      <c r="I985" s="163"/>
      <c r="J985" s="171"/>
    </row>
    <row r="986" spans="1:10" x14ac:dyDescent="0.25">
      <c r="A986" s="98"/>
      <c r="B986" s="145" t="s">
        <v>40</v>
      </c>
      <c r="C986" s="145"/>
      <c r="D986" s="145"/>
      <c r="E986" s="145"/>
      <c r="F986" s="145"/>
      <c r="G986" s="163" t="s">
        <v>920</v>
      </c>
      <c r="H986" s="163"/>
      <c r="I986" s="163"/>
      <c r="J986" s="171"/>
    </row>
    <row r="987" spans="1:10" x14ac:dyDescent="0.25">
      <c r="A987" s="98"/>
      <c r="B987" s="145"/>
      <c r="C987" s="145"/>
      <c r="D987" s="145"/>
      <c r="E987" s="145"/>
      <c r="F987" s="145"/>
      <c r="G987" s="163"/>
      <c r="H987" s="163"/>
      <c r="I987" s="163"/>
      <c r="J987" s="171"/>
    </row>
    <row r="988" spans="1:10" x14ac:dyDescent="0.25">
      <c r="A988" s="98"/>
      <c r="B988" s="145" t="s">
        <v>918</v>
      </c>
      <c r="C988" s="145"/>
      <c r="D988" s="145"/>
      <c r="E988" s="145"/>
      <c r="F988" s="145">
        <v>285000</v>
      </c>
      <c r="G988" s="163">
        <v>2000000</v>
      </c>
      <c r="H988" s="163">
        <v>2000000</v>
      </c>
      <c r="I988" s="163">
        <v>2000000</v>
      </c>
      <c r="J988" s="163">
        <v>0</v>
      </c>
    </row>
    <row r="989" spans="1:10" x14ac:dyDescent="0.25">
      <c r="A989" s="98"/>
      <c r="B989" s="145" t="s">
        <v>919</v>
      </c>
      <c r="C989" s="145"/>
      <c r="D989" s="145"/>
      <c r="E989" s="145"/>
      <c r="F989" s="145">
        <v>300000</v>
      </c>
      <c r="G989" s="163">
        <v>0</v>
      </c>
      <c r="H989" s="163">
        <v>0</v>
      </c>
      <c r="I989" s="163">
        <v>0</v>
      </c>
      <c r="J989" s="163">
        <v>0</v>
      </c>
    </row>
    <row r="990" spans="1:10" x14ac:dyDescent="0.25">
      <c r="A990" s="98"/>
      <c r="B990" s="145" t="s">
        <v>852</v>
      </c>
      <c r="C990" s="145"/>
      <c r="D990" s="145"/>
      <c r="E990" s="145"/>
      <c r="F990" s="145">
        <v>0</v>
      </c>
      <c r="G990" s="163">
        <v>0</v>
      </c>
      <c r="H990" s="163">
        <v>755</v>
      </c>
      <c r="I990" s="163">
        <f>2204+242+242+242</f>
        <v>2930</v>
      </c>
      <c r="J990" s="163">
        <v>3000</v>
      </c>
    </row>
    <row r="991" spans="1:10" x14ac:dyDescent="0.25">
      <c r="A991" s="98"/>
      <c r="B991" s="145" t="s">
        <v>345</v>
      </c>
      <c r="C991" s="145"/>
      <c r="D991" s="145"/>
      <c r="E991" s="145"/>
      <c r="F991" s="145">
        <f>SUM(F988:F990)</f>
        <v>585000</v>
      </c>
      <c r="G991" s="163">
        <f>SUM(G988:G990)</f>
        <v>2000000</v>
      </c>
      <c r="H991" s="163">
        <f>SUM(H988:H990)</f>
        <v>2000755</v>
      </c>
      <c r="I991" s="163">
        <f>SUM(I988:I990)</f>
        <v>2002930</v>
      </c>
      <c r="J991" s="163">
        <f>SUM(J988:J990)</f>
        <v>3000</v>
      </c>
    </row>
    <row r="992" spans="1:10" x14ac:dyDescent="0.25">
      <c r="A992" s="409"/>
      <c r="B992" s="98"/>
      <c r="C992" s="145"/>
      <c r="D992" s="145"/>
      <c r="E992" s="145"/>
      <c r="F992" s="145"/>
      <c r="G992" s="163"/>
      <c r="H992" s="163"/>
      <c r="I992" s="163"/>
      <c r="J992" s="171"/>
    </row>
    <row r="993" spans="1:10" x14ac:dyDescent="0.25">
      <c r="A993" s="409"/>
      <c r="B993" s="98" t="s">
        <v>41</v>
      </c>
      <c r="C993" s="145"/>
      <c r="D993" s="145"/>
      <c r="E993" s="145"/>
      <c r="F993" s="145"/>
      <c r="G993" s="163"/>
      <c r="H993" s="163"/>
      <c r="I993" s="163"/>
      <c r="J993" s="171"/>
    </row>
    <row r="994" spans="1:10" x14ac:dyDescent="0.25">
      <c r="A994" s="409"/>
      <c r="B994" s="98"/>
      <c r="C994" s="145"/>
      <c r="D994" s="145"/>
      <c r="E994" s="145"/>
      <c r="F994" s="145"/>
      <c r="G994" s="163"/>
      <c r="H994" s="163"/>
      <c r="I994" s="163"/>
      <c r="J994" s="171"/>
    </row>
    <row r="995" spans="1:10" x14ac:dyDescent="0.25">
      <c r="A995" s="409"/>
      <c r="B995" s="98" t="s">
        <v>921</v>
      </c>
      <c r="C995" s="145"/>
      <c r="D995" s="145"/>
      <c r="E995" s="145"/>
      <c r="F995" s="145"/>
      <c r="G995" s="163" t="s">
        <v>15</v>
      </c>
      <c r="H995" s="163"/>
      <c r="I995" s="163"/>
      <c r="J995" s="171"/>
    </row>
    <row r="996" spans="1:10" x14ac:dyDescent="0.25">
      <c r="A996" s="409"/>
      <c r="B996" s="98" t="s">
        <v>922</v>
      </c>
      <c r="C996" s="145"/>
      <c r="D996" s="145"/>
      <c r="E996" s="145"/>
      <c r="F996" s="145">
        <v>207620</v>
      </c>
      <c r="G996" s="163">
        <v>50000</v>
      </c>
      <c r="H996" s="163">
        <v>0</v>
      </c>
      <c r="I996" s="163">
        <v>0</v>
      </c>
      <c r="J996" s="310">
        <f>60000+7500+2500</f>
        <v>70000</v>
      </c>
    </row>
    <row r="997" spans="1:10" x14ac:dyDescent="0.25">
      <c r="A997" s="409"/>
      <c r="B997" s="98" t="s">
        <v>923</v>
      </c>
      <c r="C997" s="145"/>
      <c r="D997" s="145"/>
      <c r="E997" s="145"/>
      <c r="F997" s="145">
        <v>37380</v>
      </c>
      <c r="G997" s="163">
        <v>540000</v>
      </c>
      <c r="H997" s="163">
        <v>0</v>
      </c>
      <c r="I997" s="163">
        <v>0</v>
      </c>
      <c r="J997" s="163">
        <f>418325+61675+40000</f>
        <v>520000</v>
      </c>
    </row>
    <row r="998" spans="1:10" x14ac:dyDescent="0.25">
      <c r="A998" s="409"/>
      <c r="B998" s="98" t="s">
        <v>924</v>
      </c>
      <c r="C998" s="145"/>
      <c r="D998" s="145"/>
      <c r="E998" s="145"/>
      <c r="F998" s="145">
        <v>55000</v>
      </c>
      <c r="G998" s="163">
        <v>10000</v>
      </c>
      <c r="H998" s="163">
        <v>0</v>
      </c>
      <c r="I998" s="163">
        <v>0</v>
      </c>
      <c r="J998" s="163">
        <v>10000</v>
      </c>
    </row>
    <row r="999" spans="1:10" x14ac:dyDescent="0.25">
      <c r="A999" s="409"/>
      <c r="B999" s="98" t="s">
        <v>926</v>
      </c>
      <c r="C999" s="145"/>
      <c r="D999" s="145"/>
      <c r="E999" s="145"/>
      <c r="F999" s="145">
        <f>SUM(F996:F998)</f>
        <v>300000</v>
      </c>
      <c r="G999" s="163">
        <f>SUM(G996:G998)</f>
        <v>600000</v>
      </c>
      <c r="H999" s="163">
        <f>SUM(H996:H998)</f>
        <v>0</v>
      </c>
      <c r="I999" s="163">
        <f>SUM(I996:I998)</f>
        <v>0</v>
      </c>
      <c r="J999" s="163">
        <f>SUM(J996:J998)</f>
        <v>600000</v>
      </c>
    </row>
    <row r="1000" spans="1:10" x14ac:dyDescent="0.25">
      <c r="A1000" s="409"/>
      <c r="B1000" s="98"/>
      <c r="C1000" s="145"/>
      <c r="D1000" s="145"/>
      <c r="E1000" s="145"/>
      <c r="F1000" s="145"/>
      <c r="G1000" s="163"/>
      <c r="H1000" s="163"/>
      <c r="I1000" s="163"/>
      <c r="J1000" s="171"/>
    </row>
    <row r="1001" spans="1:10" x14ac:dyDescent="0.25">
      <c r="A1001" s="409"/>
      <c r="B1001" s="98" t="s">
        <v>925</v>
      </c>
      <c r="C1001" s="145"/>
      <c r="D1001" s="145"/>
      <c r="E1001" s="145"/>
      <c r="F1001" s="145"/>
      <c r="G1001" s="163"/>
      <c r="H1001" s="163"/>
      <c r="I1001" s="163"/>
      <c r="J1001" s="171"/>
    </row>
    <row r="1002" spans="1:10" x14ac:dyDescent="0.25">
      <c r="A1002" s="409"/>
      <c r="B1002" s="98" t="s">
        <v>922</v>
      </c>
      <c r="C1002" s="145"/>
      <c r="D1002" s="145"/>
      <c r="E1002" s="145"/>
      <c r="F1002" s="145">
        <v>237000</v>
      </c>
      <c r="G1002" s="163">
        <v>10000</v>
      </c>
      <c r="H1002" s="163">
        <v>865</v>
      </c>
      <c r="I1002" s="163">
        <v>2000</v>
      </c>
      <c r="J1002" s="163">
        <v>5000</v>
      </c>
    </row>
    <row r="1003" spans="1:10" x14ac:dyDescent="0.25">
      <c r="A1003" s="409"/>
      <c r="B1003" s="98" t="s">
        <v>923</v>
      </c>
      <c r="C1003" s="145"/>
      <c r="D1003" s="145"/>
      <c r="E1003" s="145"/>
      <c r="F1003" s="145">
        <v>25000</v>
      </c>
      <c r="G1003" s="163">
        <v>630000</v>
      </c>
      <c r="H1003" s="163">
        <v>0</v>
      </c>
      <c r="I1003" s="163">
        <v>20000</v>
      </c>
      <c r="J1003" s="163">
        <v>610000</v>
      </c>
    </row>
    <row r="1004" spans="1:10" x14ac:dyDescent="0.25">
      <c r="A1004" s="409"/>
      <c r="B1004" s="98" t="s">
        <v>924</v>
      </c>
      <c r="C1004" s="145"/>
      <c r="D1004" s="145"/>
      <c r="E1004" s="145"/>
      <c r="F1004" s="145">
        <v>23000</v>
      </c>
      <c r="G1004" s="163">
        <v>10000</v>
      </c>
      <c r="H1004" s="163">
        <v>0</v>
      </c>
      <c r="I1004" s="163">
        <v>0</v>
      </c>
      <c r="J1004" s="163">
        <v>10000</v>
      </c>
    </row>
    <row r="1005" spans="1:10" x14ac:dyDescent="0.25">
      <c r="A1005" s="409"/>
      <c r="B1005" s="98" t="s">
        <v>927</v>
      </c>
      <c r="C1005" s="145"/>
      <c r="D1005" s="145"/>
      <c r="E1005" s="145"/>
      <c r="F1005" s="145">
        <f>SUM(F1002:F1004)</f>
        <v>285000</v>
      </c>
      <c r="G1005" s="163">
        <f>SUM(G1002:G1004)</f>
        <v>650000</v>
      </c>
      <c r="H1005" s="163">
        <f>SUM(H1002:H1004)</f>
        <v>865</v>
      </c>
      <c r="I1005" s="163">
        <f>SUM(I1002:I1004)</f>
        <v>22000</v>
      </c>
      <c r="J1005" s="163">
        <f>SUM(J1002:J1004)</f>
        <v>625000</v>
      </c>
    </row>
    <row r="1006" spans="1:10" x14ac:dyDescent="0.25">
      <c r="A1006" s="409"/>
      <c r="B1006" s="98"/>
      <c r="C1006" s="145"/>
      <c r="D1006" s="145"/>
      <c r="E1006" s="145"/>
      <c r="F1006" s="145"/>
      <c r="G1006" s="163"/>
      <c r="H1006" s="163"/>
      <c r="I1006" s="163"/>
      <c r="J1006" s="163"/>
    </row>
    <row r="1007" spans="1:10" x14ac:dyDescent="0.25">
      <c r="A1007" s="409"/>
      <c r="B1007" s="98" t="s">
        <v>928</v>
      </c>
      <c r="C1007" s="145"/>
      <c r="D1007" s="145"/>
      <c r="E1007" s="145"/>
      <c r="F1007" s="145"/>
      <c r="G1007" s="163"/>
      <c r="H1007" s="163"/>
      <c r="I1007" s="163"/>
      <c r="J1007" s="171"/>
    </row>
    <row r="1008" spans="1:10" x14ac:dyDescent="0.25">
      <c r="A1008" s="409"/>
      <c r="B1008" s="98" t="s">
        <v>922</v>
      </c>
      <c r="C1008" s="145"/>
      <c r="D1008" s="145"/>
      <c r="E1008" s="145"/>
      <c r="F1008" s="145">
        <v>237000</v>
      </c>
      <c r="G1008" s="163">
        <v>50000</v>
      </c>
      <c r="H1008" s="163">
        <v>100931</v>
      </c>
      <c r="I1008" s="163">
        <f>116404+25000</f>
        <v>141404</v>
      </c>
      <c r="J1008" s="163">
        <v>50000</v>
      </c>
    </row>
    <row r="1009" spans="1:11" x14ac:dyDescent="0.25">
      <c r="A1009" s="409"/>
      <c r="B1009" s="98" t="s">
        <v>923</v>
      </c>
      <c r="C1009" s="145"/>
      <c r="D1009" s="145"/>
      <c r="E1009" s="145"/>
      <c r="F1009" s="145">
        <v>25000</v>
      </c>
      <c r="G1009" s="163">
        <v>540000</v>
      </c>
      <c r="H1009" s="163">
        <v>0</v>
      </c>
      <c r="I1009" s="163">
        <v>0</v>
      </c>
      <c r="J1009" s="163">
        <v>540000</v>
      </c>
    </row>
    <row r="1010" spans="1:11" x14ac:dyDescent="0.25">
      <c r="A1010" s="409"/>
      <c r="B1010" s="98" t="s">
        <v>924</v>
      </c>
      <c r="C1010" s="145"/>
      <c r="D1010" s="145"/>
      <c r="E1010" s="145"/>
      <c r="F1010" s="145">
        <v>23000</v>
      </c>
      <c r="G1010" s="163">
        <v>10000</v>
      </c>
      <c r="H1010" s="163">
        <v>0</v>
      </c>
      <c r="I1010" s="163">
        <v>0</v>
      </c>
      <c r="J1010" s="163">
        <v>10000</v>
      </c>
    </row>
    <row r="1011" spans="1:11" x14ac:dyDescent="0.25">
      <c r="A1011" s="409"/>
      <c r="B1011" s="98" t="s">
        <v>929</v>
      </c>
      <c r="C1011" s="145"/>
      <c r="D1011" s="145"/>
      <c r="E1011" s="145"/>
      <c r="F1011" s="145">
        <f>SUM(F1008:F1010)</f>
        <v>285000</v>
      </c>
      <c r="G1011" s="161">
        <f>SUM(G1008:G1010)</f>
        <v>600000</v>
      </c>
      <c r="H1011" s="161">
        <f>SUM(H1008:H1010)</f>
        <v>100931</v>
      </c>
      <c r="I1011" s="161">
        <f>SUM(I1008:I1010)</f>
        <v>141404</v>
      </c>
      <c r="J1011" s="161">
        <f>SUM(J1008:J1010)</f>
        <v>600000</v>
      </c>
    </row>
    <row r="1012" spans="1:11" x14ac:dyDescent="0.25">
      <c r="A1012" s="409"/>
      <c r="B1012" s="98"/>
      <c r="C1012" s="145"/>
      <c r="D1012" s="145"/>
      <c r="E1012" s="145"/>
      <c r="F1012" s="145"/>
      <c r="G1012" s="410"/>
      <c r="H1012" s="410"/>
      <c r="I1012" s="410"/>
      <c r="J1012" s="410"/>
    </row>
    <row r="1013" spans="1:11" x14ac:dyDescent="0.25">
      <c r="A1013" s="409"/>
      <c r="B1013" s="98" t="s">
        <v>347</v>
      </c>
      <c r="C1013" s="145"/>
      <c r="D1013" s="145"/>
      <c r="E1013" s="145"/>
      <c r="F1013" s="145">
        <f>SUM(F999,F1005)</f>
        <v>585000</v>
      </c>
      <c r="G1013" s="163">
        <f>SUM(G999,G1005+G1011)</f>
        <v>1850000</v>
      </c>
      <c r="H1013" s="163">
        <f t="shared" ref="H1013:J1013" si="100">SUM(H999,H1005+H1011)</f>
        <v>101796</v>
      </c>
      <c r="I1013" s="163">
        <f t="shared" si="100"/>
        <v>163404</v>
      </c>
      <c r="J1013" s="163">
        <f t="shared" si="100"/>
        <v>1825000</v>
      </c>
    </row>
    <row r="1014" spans="1:11" x14ac:dyDescent="0.25">
      <c r="A1014" s="409"/>
      <c r="B1014" s="98"/>
      <c r="C1014" s="145"/>
      <c r="D1014" s="145"/>
      <c r="E1014" s="145"/>
      <c r="F1014" s="145"/>
      <c r="G1014" s="163"/>
      <c r="H1014" s="163"/>
      <c r="I1014" s="163"/>
      <c r="J1014" s="171"/>
    </row>
    <row r="1015" spans="1:11" x14ac:dyDescent="0.25">
      <c r="A1015" s="409"/>
      <c r="B1015" s="98" t="s">
        <v>47</v>
      </c>
      <c r="C1015" s="145"/>
      <c r="D1015" s="145"/>
      <c r="E1015" s="145"/>
      <c r="F1015" s="145">
        <f>SUM(F984+F991-F999-F1005)</f>
        <v>0</v>
      </c>
      <c r="G1015" s="163">
        <f>SUM(G984+G991-G999-G1005-G1011)</f>
        <v>150000</v>
      </c>
      <c r="H1015" s="163">
        <f t="shared" ref="H1015:J1015" si="101">SUM(H984+H991-H999-H1005-H1011)</f>
        <v>1898959</v>
      </c>
      <c r="I1015" s="163">
        <f t="shared" si="101"/>
        <v>1839526</v>
      </c>
      <c r="J1015" s="163">
        <f t="shared" si="101"/>
        <v>30000</v>
      </c>
    </row>
    <row r="1016" spans="1:11" x14ac:dyDescent="0.25">
      <c r="A1016" s="409"/>
      <c r="B1016" s="98"/>
      <c r="C1016" s="145"/>
      <c r="D1016" s="145"/>
      <c r="E1016" s="145"/>
      <c r="F1016" s="145"/>
      <c r="G1016" s="163"/>
      <c r="H1016" s="163"/>
      <c r="I1016" s="163"/>
      <c r="J1016" s="171"/>
    </row>
    <row r="1017" spans="1:11" x14ac:dyDescent="0.25">
      <c r="A1017" s="409"/>
      <c r="B1017" s="98"/>
      <c r="C1017" s="145"/>
      <c r="D1017" s="145"/>
      <c r="E1017" s="145"/>
      <c r="F1017" s="145"/>
      <c r="G1017" s="163"/>
      <c r="H1017" s="163"/>
      <c r="I1017" s="163"/>
      <c r="J1017" s="171"/>
    </row>
    <row r="1018" spans="1:11" x14ac:dyDescent="0.25">
      <c r="A1018" s="409"/>
      <c r="B1018" s="98"/>
      <c r="C1018" s="145"/>
      <c r="D1018" s="145"/>
      <c r="E1018" s="145"/>
      <c r="F1018" s="145"/>
      <c r="G1018" s="163"/>
      <c r="H1018" s="163"/>
      <c r="I1018" s="163"/>
      <c r="J1018" s="171"/>
    </row>
    <row r="1019" spans="1:11" x14ac:dyDescent="0.25">
      <c r="A1019" s="409"/>
      <c r="B1019" s="98"/>
      <c r="C1019" s="145"/>
      <c r="D1019" s="145"/>
      <c r="E1019" s="145"/>
      <c r="F1019" s="145"/>
      <c r="G1019" s="411"/>
      <c r="H1019" s="163"/>
      <c r="I1019" s="163"/>
      <c r="J1019" s="171"/>
    </row>
    <row r="1020" spans="1:11" x14ac:dyDescent="0.25">
      <c r="A1020" s="409"/>
      <c r="B1020" s="193" t="s">
        <v>350</v>
      </c>
      <c r="C1020" s="145"/>
      <c r="D1020" s="145"/>
      <c r="E1020" s="145"/>
      <c r="F1020" s="145"/>
      <c r="G1020" s="163"/>
      <c r="H1020" s="163"/>
      <c r="I1020" s="163"/>
      <c r="J1020" s="171"/>
    </row>
    <row r="1021" spans="1:11" x14ac:dyDescent="0.25">
      <c r="A1021" s="409"/>
      <c r="B1021" s="412"/>
      <c r="C1021" s="352"/>
      <c r="D1021" s="352"/>
      <c r="E1021" s="352"/>
      <c r="F1021" s="352"/>
      <c r="G1021" s="99"/>
      <c r="H1021" s="100"/>
      <c r="I1021" s="101" t="str">
        <f>+I2</f>
        <v xml:space="preserve"> Estimated</v>
      </c>
      <c r="J1021" s="101" t="s">
        <v>1093</v>
      </c>
      <c r="K1021" s="101" t="s">
        <v>1077</v>
      </c>
    </row>
    <row r="1022" spans="1:11" x14ac:dyDescent="0.25">
      <c r="A1022" s="409"/>
      <c r="B1022" s="413" t="s">
        <v>36</v>
      </c>
      <c r="C1022" s="352"/>
      <c r="D1022" s="352"/>
      <c r="E1022" s="352"/>
      <c r="F1022" s="407" t="s">
        <v>221</v>
      </c>
      <c r="G1022" s="105" t="str">
        <f>+G3</f>
        <v>Budget 2016-17</v>
      </c>
      <c r="H1022" s="105" t="str">
        <f>+H3</f>
        <v>Actual 5/31/17</v>
      </c>
      <c r="I1022" s="106">
        <f>+I3</f>
        <v>43008</v>
      </c>
      <c r="J1022" s="105" t="str">
        <f>+J3</f>
        <v>Budget 2017-18</v>
      </c>
      <c r="K1022" s="105" t="s">
        <v>1076</v>
      </c>
    </row>
    <row r="1023" spans="1:11" x14ac:dyDescent="0.25">
      <c r="A1023" s="409"/>
      <c r="B1023" s="108"/>
      <c r="C1023" s="145"/>
      <c r="D1023" s="145"/>
      <c r="E1023" s="145"/>
      <c r="F1023" s="145"/>
      <c r="G1023" s="113"/>
      <c r="H1023" s="113"/>
      <c r="I1023" s="113"/>
      <c r="J1023" s="393"/>
      <c r="K1023" s="108"/>
    </row>
    <row r="1024" spans="1:11" x14ac:dyDescent="0.25">
      <c r="A1024" s="409"/>
      <c r="B1024" s="125" t="s">
        <v>37</v>
      </c>
      <c r="C1024" s="145"/>
      <c r="D1024" s="145"/>
      <c r="E1024" s="145"/>
      <c r="F1024" s="203">
        <v>2278269</v>
      </c>
      <c r="G1024" s="234">
        <v>4137583</v>
      </c>
      <c r="H1024" s="234"/>
      <c r="I1024" s="234"/>
      <c r="J1024" s="234">
        <v>3470000</v>
      </c>
      <c r="K1024" s="129">
        <v>3470000</v>
      </c>
    </row>
    <row r="1025" spans="1:11" x14ac:dyDescent="0.25">
      <c r="A1025" s="409"/>
      <c r="B1025" s="98"/>
      <c r="C1025" s="145"/>
      <c r="D1025" s="145"/>
      <c r="E1025" s="145"/>
      <c r="F1025" s="203"/>
      <c r="G1025" s="242"/>
      <c r="H1025" s="242"/>
      <c r="I1025" s="242"/>
      <c r="J1025" s="171"/>
    </row>
    <row r="1026" spans="1:11" x14ac:dyDescent="0.25">
      <c r="A1026" s="409"/>
      <c r="B1026" s="98" t="s">
        <v>40</v>
      </c>
      <c r="C1026" s="145"/>
      <c r="D1026" s="145"/>
      <c r="E1026" s="145"/>
      <c r="F1026" s="203"/>
      <c r="G1026" s="242"/>
      <c r="H1026" s="242"/>
      <c r="I1026" s="242"/>
      <c r="J1026" s="171"/>
    </row>
    <row r="1027" spans="1:11" x14ac:dyDescent="0.25">
      <c r="A1027" s="409"/>
      <c r="B1027" s="98"/>
      <c r="C1027" s="145"/>
      <c r="D1027" s="145"/>
      <c r="E1027" s="145"/>
      <c r="F1027" s="203"/>
      <c r="G1027" s="242"/>
      <c r="H1027" s="242"/>
      <c r="I1027" s="242"/>
      <c r="J1027" s="171"/>
    </row>
    <row r="1028" spans="1:11" x14ac:dyDescent="0.25">
      <c r="A1028" s="409"/>
      <c r="B1028" s="335" t="s">
        <v>355</v>
      </c>
      <c r="C1028" s="145"/>
      <c r="D1028" s="145"/>
      <c r="E1028" s="145"/>
      <c r="F1028" s="203"/>
      <c r="G1028" s="242"/>
      <c r="H1028" s="242"/>
      <c r="I1028" s="242"/>
      <c r="J1028" s="171"/>
    </row>
    <row r="1029" spans="1:11" x14ac:dyDescent="0.25">
      <c r="A1029" s="409"/>
      <c r="B1029" s="108" t="s">
        <v>578</v>
      </c>
      <c r="C1029" s="145"/>
      <c r="D1029" s="145"/>
      <c r="E1029" s="145"/>
      <c r="F1029" s="203">
        <v>25000</v>
      </c>
      <c r="G1029" s="235">
        <v>15000</v>
      </c>
      <c r="H1029" s="235">
        <v>19946</v>
      </c>
      <c r="I1029" s="235">
        <v>20000</v>
      </c>
      <c r="J1029" s="235">
        <v>15000</v>
      </c>
      <c r="K1029" s="235">
        <v>15000</v>
      </c>
    </row>
    <row r="1030" spans="1:11" x14ac:dyDescent="0.25">
      <c r="A1030" s="409"/>
      <c r="B1030" s="116" t="s">
        <v>704</v>
      </c>
      <c r="C1030" s="145"/>
      <c r="D1030" s="145"/>
      <c r="E1030" s="145"/>
      <c r="F1030" s="203"/>
      <c r="G1030" s="268">
        <v>4000</v>
      </c>
      <c r="H1030" s="253">
        <v>2428</v>
      </c>
      <c r="I1030" s="253">
        <v>3500</v>
      </c>
      <c r="J1030" s="253">
        <v>3500</v>
      </c>
      <c r="K1030" s="253">
        <v>3500</v>
      </c>
    </row>
    <row r="1031" spans="1:11" x14ac:dyDescent="0.25">
      <c r="A1031" s="409"/>
      <c r="B1031" s="116" t="s">
        <v>705</v>
      </c>
      <c r="C1031" s="145"/>
      <c r="D1031" s="145"/>
      <c r="E1031" s="145"/>
      <c r="F1031" s="203"/>
      <c r="G1031" s="253">
        <v>4000</v>
      </c>
      <c r="H1031" s="253">
        <v>2619</v>
      </c>
      <c r="I1031" s="253">
        <v>4000</v>
      </c>
      <c r="J1031" s="253">
        <v>3000</v>
      </c>
      <c r="K1031" s="253">
        <v>3000</v>
      </c>
    </row>
    <row r="1032" spans="1:11" x14ac:dyDescent="0.25">
      <c r="A1032" s="409"/>
      <c r="B1032" s="116" t="s">
        <v>706</v>
      </c>
      <c r="C1032" s="145"/>
      <c r="D1032" s="145"/>
      <c r="E1032" s="145"/>
      <c r="F1032" s="203"/>
      <c r="G1032" s="253">
        <v>2000</v>
      </c>
      <c r="H1032" s="253">
        <v>-198</v>
      </c>
      <c r="I1032" s="253">
        <v>0</v>
      </c>
      <c r="J1032" s="253">
        <v>0</v>
      </c>
      <c r="K1032" s="253">
        <v>0</v>
      </c>
    </row>
    <row r="1033" spans="1:11" x14ac:dyDescent="0.25">
      <c r="A1033" s="409"/>
      <c r="B1033" s="116" t="s">
        <v>707</v>
      </c>
      <c r="C1033" s="145"/>
      <c r="D1033" s="145"/>
      <c r="E1033" s="145"/>
      <c r="F1033" s="203"/>
      <c r="G1033" s="253">
        <v>30000</v>
      </c>
      <c r="H1033" s="253">
        <v>8463</v>
      </c>
      <c r="I1033" s="253">
        <v>15000</v>
      </c>
      <c r="J1033" s="253">
        <v>10000</v>
      </c>
      <c r="K1033" s="253">
        <v>10000</v>
      </c>
    </row>
    <row r="1034" spans="1:11" x14ac:dyDescent="0.25">
      <c r="A1034" s="409"/>
      <c r="B1034" s="116" t="s">
        <v>853</v>
      </c>
      <c r="C1034" s="145"/>
      <c r="D1034" s="145"/>
      <c r="E1034" s="145"/>
      <c r="F1034" s="203"/>
      <c r="G1034" s="253">
        <v>1000000</v>
      </c>
      <c r="H1034" s="253">
        <v>352578</v>
      </c>
      <c r="I1034" s="253">
        <v>592500</v>
      </c>
      <c r="J1034" s="253">
        <f>39000*12</f>
        <v>468000</v>
      </c>
      <c r="K1034" s="253">
        <f>39000*12</f>
        <v>468000</v>
      </c>
    </row>
    <row r="1035" spans="1:11" x14ac:dyDescent="0.25">
      <c r="A1035" s="409"/>
      <c r="B1035" s="116" t="s">
        <v>1042</v>
      </c>
      <c r="C1035" s="145"/>
      <c r="D1035" s="145"/>
      <c r="E1035" s="145"/>
      <c r="F1035" s="203"/>
      <c r="G1035" s="253">
        <v>40000</v>
      </c>
      <c r="H1035" s="253">
        <v>33872</v>
      </c>
      <c r="I1035" s="253">
        <f>40000+198500</f>
        <v>238500</v>
      </c>
      <c r="J1035" s="253">
        <f>7000*12</f>
        <v>84000</v>
      </c>
      <c r="K1035" s="253">
        <f>7000*12</f>
        <v>84000</v>
      </c>
    </row>
    <row r="1036" spans="1:11" x14ac:dyDescent="0.25">
      <c r="A1036" s="409"/>
      <c r="B1036" s="116" t="s">
        <v>708</v>
      </c>
      <c r="C1036" s="145"/>
      <c r="D1036" s="145"/>
      <c r="E1036" s="145"/>
      <c r="F1036" s="203"/>
      <c r="G1036" s="253">
        <v>12000</v>
      </c>
      <c r="H1036" s="253">
        <v>10200</v>
      </c>
      <c r="I1036" s="253">
        <v>15000</v>
      </c>
      <c r="J1036" s="253">
        <v>10000</v>
      </c>
      <c r="K1036" s="253">
        <v>10000</v>
      </c>
    </row>
    <row r="1037" spans="1:11" x14ac:dyDescent="0.25">
      <c r="A1037" s="409"/>
      <c r="B1037" s="116" t="s">
        <v>854</v>
      </c>
      <c r="C1037" s="145"/>
      <c r="D1037" s="145"/>
      <c r="E1037" s="145"/>
      <c r="F1037" s="203"/>
      <c r="G1037" s="253">
        <v>0</v>
      </c>
      <c r="H1037" s="253">
        <v>0</v>
      </c>
      <c r="I1037" s="253">
        <v>0</v>
      </c>
      <c r="J1037" s="253">
        <v>0</v>
      </c>
      <c r="K1037" s="253">
        <v>0</v>
      </c>
    </row>
    <row r="1038" spans="1:11" x14ac:dyDescent="0.25">
      <c r="A1038" s="409"/>
      <c r="B1038" s="125" t="s">
        <v>351</v>
      </c>
      <c r="C1038" s="145"/>
      <c r="D1038" s="145"/>
      <c r="E1038" s="145"/>
      <c r="F1038" s="203">
        <v>0</v>
      </c>
      <c r="G1038" s="234">
        <v>15000</v>
      </c>
      <c r="H1038" s="234">
        <v>21307</v>
      </c>
      <c r="I1038" s="234">
        <f>2625*12</f>
        <v>31500</v>
      </c>
      <c r="J1038" s="234">
        <v>15000</v>
      </c>
      <c r="K1038" s="234">
        <v>15000</v>
      </c>
    </row>
    <row r="1039" spans="1:11" x14ac:dyDescent="0.25">
      <c r="A1039" s="409"/>
      <c r="B1039" s="335" t="s">
        <v>34</v>
      </c>
      <c r="C1039" s="145"/>
      <c r="D1039" s="145"/>
      <c r="E1039" s="145"/>
      <c r="F1039" s="203">
        <f t="shared" ref="F1039:K1039" si="102">SUM(F1029:F1038)</f>
        <v>25000</v>
      </c>
      <c r="G1039" s="414">
        <f t="shared" si="102"/>
        <v>1122000</v>
      </c>
      <c r="H1039" s="414">
        <f t="shared" si="102"/>
        <v>451215</v>
      </c>
      <c r="I1039" s="414">
        <f t="shared" si="102"/>
        <v>920000</v>
      </c>
      <c r="J1039" s="414">
        <f t="shared" si="102"/>
        <v>608500</v>
      </c>
      <c r="K1039" s="210">
        <f t="shared" si="102"/>
        <v>608500</v>
      </c>
    </row>
    <row r="1040" spans="1:11" x14ac:dyDescent="0.25">
      <c r="A1040" s="409"/>
      <c r="B1040" s="98"/>
      <c r="C1040" s="145"/>
      <c r="D1040" s="145"/>
      <c r="E1040" s="145"/>
      <c r="F1040" s="203"/>
      <c r="G1040" s="242"/>
      <c r="H1040" s="242"/>
      <c r="I1040" s="242"/>
      <c r="J1040" s="171"/>
    </row>
    <row r="1041" spans="1:11" x14ac:dyDescent="0.25">
      <c r="A1041" s="409"/>
      <c r="B1041" s="108" t="s">
        <v>354</v>
      </c>
      <c r="C1041" s="145"/>
      <c r="D1041" s="145"/>
      <c r="E1041" s="145"/>
      <c r="F1041" s="203">
        <v>0</v>
      </c>
      <c r="G1041" s="235">
        <v>0</v>
      </c>
      <c r="H1041" s="235">
        <v>0</v>
      </c>
      <c r="I1041" s="235">
        <v>0</v>
      </c>
      <c r="J1041" s="113">
        <v>0</v>
      </c>
      <c r="K1041" s="108">
        <v>0</v>
      </c>
    </row>
    <row r="1042" spans="1:11" x14ac:dyDescent="0.25">
      <c r="A1042" s="409"/>
      <c r="B1042" s="125" t="s">
        <v>709</v>
      </c>
      <c r="C1042" s="145"/>
      <c r="D1042" s="145"/>
      <c r="E1042" s="145"/>
      <c r="F1042" s="203"/>
      <c r="G1042" s="234"/>
      <c r="H1042" s="234"/>
      <c r="I1042" s="234"/>
      <c r="J1042" s="130"/>
      <c r="K1042" s="125"/>
    </row>
    <row r="1043" spans="1:11" x14ac:dyDescent="0.25">
      <c r="A1043" s="409"/>
      <c r="B1043" s="415" t="s">
        <v>1046</v>
      </c>
      <c r="C1043" s="145"/>
      <c r="D1043" s="145"/>
      <c r="E1043" s="145"/>
      <c r="F1043" s="203">
        <v>300000</v>
      </c>
      <c r="G1043" s="416">
        <v>0</v>
      </c>
      <c r="H1043" s="414">
        <v>0</v>
      </c>
      <c r="I1043" s="414">
        <v>0</v>
      </c>
      <c r="J1043" s="210">
        <f>700000+700000</f>
        <v>1400000</v>
      </c>
      <c r="K1043" s="210">
        <v>1400000</v>
      </c>
    </row>
    <row r="1044" spans="1:11" x14ac:dyDescent="0.25">
      <c r="A1044" s="409"/>
      <c r="B1044" s="98"/>
      <c r="C1044" s="145"/>
      <c r="D1044" s="145"/>
      <c r="E1044" s="145"/>
      <c r="F1044" s="203"/>
      <c r="G1044" s="242"/>
      <c r="H1044" s="242"/>
      <c r="I1044" s="242"/>
      <c r="J1044" s="171"/>
    </row>
    <row r="1045" spans="1:11" x14ac:dyDescent="0.25">
      <c r="A1045" s="409"/>
      <c r="B1045" s="335" t="s">
        <v>833</v>
      </c>
      <c r="C1045" s="145"/>
      <c r="D1045" s="145"/>
      <c r="E1045" s="145"/>
      <c r="F1045" s="203"/>
      <c r="G1045" s="414">
        <v>150000</v>
      </c>
      <c r="H1045" s="414">
        <v>0</v>
      </c>
      <c r="I1045" s="414">
        <v>150000</v>
      </c>
      <c r="J1045" s="210">
        <v>150000</v>
      </c>
      <c r="K1045" s="210">
        <v>150000</v>
      </c>
    </row>
    <row r="1046" spans="1:11" x14ac:dyDescent="0.25">
      <c r="A1046" s="409"/>
      <c r="B1046" s="98"/>
      <c r="C1046" s="145"/>
      <c r="D1046" s="145"/>
      <c r="E1046" s="145"/>
      <c r="F1046" s="203"/>
      <c r="G1046" s="242"/>
      <c r="H1046" s="242"/>
      <c r="I1046" s="242"/>
      <c r="J1046" s="171"/>
    </row>
    <row r="1047" spans="1:11" x14ac:dyDescent="0.25">
      <c r="A1047" s="409"/>
      <c r="B1047" s="335" t="s">
        <v>141</v>
      </c>
      <c r="C1047" s="145"/>
      <c r="D1047" s="145"/>
      <c r="E1047" s="145"/>
      <c r="F1047" s="203">
        <v>0</v>
      </c>
      <c r="G1047" s="414">
        <v>5000</v>
      </c>
      <c r="H1047" s="414">
        <v>2276</v>
      </c>
      <c r="I1047" s="414">
        <v>4500</v>
      </c>
      <c r="J1047" s="210">
        <v>5500</v>
      </c>
      <c r="K1047" s="210">
        <v>5500</v>
      </c>
    </row>
    <row r="1048" spans="1:11" x14ac:dyDescent="0.25">
      <c r="A1048" s="409"/>
      <c r="B1048" s="98"/>
      <c r="C1048" s="145"/>
      <c r="D1048" s="145"/>
      <c r="E1048" s="145"/>
      <c r="F1048" s="203"/>
      <c r="G1048" s="242"/>
      <c r="H1048" s="242"/>
      <c r="I1048" s="242"/>
      <c r="J1048" s="171"/>
    </row>
    <row r="1049" spans="1:11" x14ac:dyDescent="0.25">
      <c r="A1049" s="409"/>
      <c r="B1049" s="335" t="s">
        <v>352</v>
      </c>
      <c r="C1049" s="145"/>
      <c r="D1049" s="145"/>
      <c r="E1049" s="145"/>
      <c r="F1049" s="203" t="e">
        <f>SUM(#REF!+F1039+F1041+F1043+F1047)</f>
        <v>#REF!</v>
      </c>
      <c r="G1049" s="414">
        <f>SUM(G1039+G1041+G1043+G1045+G1047)</f>
        <v>1277000</v>
      </c>
      <c r="H1049" s="414">
        <f>SUM(H1039+H1041+H1043+H1045+H1047)</f>
        <v>453491</v>
      </c>
      <c r="I1049" s="414">
        <f>SUM(I1039+I1041+I1043+I1045+I1047)</f>
        <v>1074500</v>
      </c>
      <c r="J1049" s="414">
        <f>SUM(J1039+J1041+J1043+J1045+J1047)</f>
        <v>2164000</v>
      </c>
      <c r="K1049" s="414">
        <f>SUM(K1039+K1041+K1043+K1045+K1047)</f>
        <v>2164000</v>
      </c>
    </row>
    <row r="1050" spans="1:11" x14ac:dyDescent="0.25">
      <c r="A1050" s="409"/>
      <c r="B1050" s="98"/>
      <c r="C1050" s="145"/>
      <c r="D1050" s="145"/>
      <c r="E1050" s="145"/>
      <c r="F1050" s="203"/>
      <c r="G1050" s="242"/>
      <c r="H1050" s="242"/>
      <c r="I1050" s="242"/>
      <c r="J1050" s="394"/>
    </row>
    <row r="1051" spans="1:11" x14ac:dyDescent="0.25">
      <c r="A1051" s="409"/>
      <c r="B1051" s="98" t="s">
        <v>41</v>
      </c>
      <c r="C1051" s="145"/>
      <c r="D1051" s="145"/>
      <c r="E1051" s="145"/>
      <c r="F1051" s="203"/>
      <c r="G1051" s="242"/>
      <c r="H1051" s="242"/>
      <c r="I1051" s="242"/>
      <c r="J1051" s="171"/>
    </row>
    <row r="1052" spans="1:11" x14ac:dyDescent="0.25">
      <c r="A1052" s="417">
        <v>610.09</v>
      </c>
      <c r="B1052" s="108" t="s">
        <v>899</v>
      </c>
      <c r="C1052" s="145"/>
      <c r="D1052" s="145"/>
      <c r="E1052" s="145"/>
      <c r="F1052" s="203"/>
      <c r="G1052" s="235">
        <v>100000</v>
      </c>
      <c r="H1052" s="235">
        <v>0</v>
      </c>
      <c r="I1052" s="235">
        <v>100000</v>
      </c>
      <c r="J1052" s="235">
        <v>0</v>
      </c>
      <c r="K1052" s="235">
        <v>0</v>
      </c>
    </row>
    <row r="1053" spans="1:11" x14ac:dyDescent="0.25">
      <c r="A1053" s="513">
        <v>640.03</v>
      </c>
      <c r="B1053" s="159" t="s">
        <v>1026</v>
      </c>
      <c r="C1053" s="156"/>
      <c r="D1053" s="156"/>
      <c r="E1053" s="156"/>
      <c r="F1053" s="282"/>
      <c r="G1053" s="268">
        <v>113213</v>
      </c>
      <c r="H1053" s="268">
        <v>38427</v>
      </c>
      <c r="I1053" s="268">
        <v>38427</v>
      </c>
      <c r="J1053" s="493">
        <v>0</v>
      </c>
      <c r="K1053" s="121">
        <v>0</v>
      </c>
    </row>
    <row r="1054" spans="1:11" x14ac:dyDescent="0.25">
      <c r="A1054" s="513"/>
      <c r="B1054" s="159" t="s">
        <v>1088</v>
      </c>
      <c r="C1054" s="156"/>
      <c r="D1054" s="156"/>
      <c r="E1054" s="156"/>
      <c r="F1054" s="282"/>
      <c r="G1054" s="268"/>
      <c r="H1054" s="268"/>
      <c r="I1054" s="268"/>
      <c r="J1054" s="121">
        <v>0</v>
      </c>
      <c r="K1054" s="121">
        <v>55000</v>
      </c>
    </row>
    <row r="1055" spans="1:11" x14ac:dyDescent="0.25">
      <c r="A1055" s="513"/>
      <c r="B1055" s="159" t="s">
        <v>1087</v>
      </c>
      <c r="C1055" s="156"/>
      <c r="D1055" s="156"/>
      <c r="E1055" s="156"/>
      <c r="F1055" s="282"/>
      <c r="G1055" s="268"/>
      <c r="H1055" s="268"/>
      <c r="I1055" s="268"/>
      <c r="J1055" s="121">
        <v>0</v>
      </c>
      <c r="K1055" s="121">
        <v>15000</v>
      </c>
    </row>
    <row r="1056" spans="1:11" x14ac:dyDescent="0.25">
      <c r="A1056" s="513">
        <v>650.01</v>
      </c>
      <c r="B1056" s="159" t="s">
        <v>1027</v>
      </c>
      <c r="C1056" s="156"/>
      <c r="D1056" s="156"/>
      <c r="E1056" s="156"/>
      <c r="F1056" s="282"/>
      <c r="G1056" s="268">
        <v>30000</v>
      </c>
      <c r="H1056" s="268">
        <v>14718</v>
      </c>
      <c r="I1056" s="268">
        <v>30000</v>
      </c>
      <c r="J1056" s="268">
        <v>25000</v>
      </c>
      <c r="K1056" s="268">
        <v>25000</v>
      </c>
    </row>
    <row r="1057" spans="1:11" x14ac:dyDescent="0.25">
      <c r="A1057" s="513">
        <v>650.05999999999995</v>
      </c>
      <c r="B1057" s="159" t="s">
        <v>1060</v>
      </c>
      <c r="C1057" s="156"/>
      <c r="D1057" s="156"/>
      <c r="E1057" s="156"/>
      <c r="F1057" s="282">
        <v>224298</v>
      </c>
      <c r="G1057" s="420">
        <f>107761+43736</f>
        <v>151497</v>
      </c>
      <c r="H1057" s="420">
        <v>263397</v>
      </c>
      <c r="I1057" s="420">
        <v>263397</v>
      </c>
      <c r="J1057" s="420">
        <v>140000</v>
      </c>
      <c r="K1057" s="420">
        <v>140000</v>
      </c>
    </row>
    <row r="1058" spans="1:11" x14ac:dyDescent="0.25">
      <c r="A1058" s="418">
        <v>650.07000000000005</v>
      </c>
      <c r="B1058" s="116" t="s">
        <v>1028</v>
      </c>
      <c r="C1058" s="145"/>
      <c r="D1058" s="145"/>
      <c r="E1058" s="145"/>
      <c r="F1058" s="203">
        <v>25000</v>
      </c>
      <c r="G1058" s="419">
        <v>150000</v>
      </c>
      <c r="H1058" s="419">
        <v>125359</v>
      </c>
      <c r="I1058" s="419">
        <v>150000</v>
      </c>
      <c r="J1058" s="420">
        <v>150000</v>
      </c>
      <c r="K1058" s="420">
        <v>150000</v>
      </c>
    </row>
    <row r="1059" spans="1:11" x14ac:dyDescent="0.25">
      <c r="A1059" s="418">
        <v>650.09</v>
      </c>
      <c r="B1059" s="116" t="s">
        <v>882</v>
      </c>
      <c r="C1059" s="145"/>
      <c r="D1059" s="145"/>
      <c r="E1059" s="145"/>
      <c r="F1059" s="203"/>
      <c r="G1059" s="419">
        <v>140000</v>
      </c>
      <c r="H1059" s="419">
        <v>33778</v>
      </c>
      <c r="I1059" s="419">
        <v>35000</v>
      </c>
      <c r="J1059" s="419">
        <v>10000</v>
      </c>
      <c r="K1059" s="419">
        <v>10000</v>
      </c>
    </row>
    <row r="1060" spans="1:11" x14ac:dyDescent="0.25">
      <c r="A1060" s="418">
        <v>650.11</v>
      </c>
      <c r="B1060" s="116" t="s">
        <v>883</v>
      </c>
      <c r="C1060" s="145"/>
      <c r="D1060" s="145"/>
      <c r="E1060" s="145"/>
      <c r="F1060" s="203"/>
      <c r="G1060" s="419">
        <v>84000</v>
      </c>
      <c r="H1060" s="419">
        <v>0</v>
      </c>
      <c r="I1060" s="419">
        <v>0</v>
      </c>
      <c r="J1060" s="419">
        <f>54430+40785</f>
        <v>95215</v>
      </c>
      <c r="K1060" s="419">
        <f>54430+40785</f>
        <v>95215</v>
      </c>
    </row>
    <row r="1061" spans="1:11" x14ac:dyDescent="0.25">
      <c r="A1061" s="418">
        <v>650.13</v>
      </c>
      <c r="B1061" s="116" t="s">
        <v>1029</v>
      </c>
      <c r="C1061" s="145"/>
      <c r="D1061" s="145"/>
      <c r="E1061" s="145"/>
      <c r="F1061" s="203"/>
      <c r="G1061" s="419">
        <v>50000</v>
      </c>
      <c r="H1061" s="419">
        <v>43161</v>
      </c>
      <c r="I1061" s="419">
        <v>45000</v>
      </c>
      <c r="J1061" s="419">
        <v>0</v>
      </c>
      <c r="K1061" s="419">
        <v>0</v>
      </c>
    </row>
    <row r="1062" spans="1:11" x14ac:dyDescent="0.25">
      <c r="A1062" s="418">
        <v>650.17999999999995</v>
      </c>
      <c r="B1062" s="116" t="s">
        <v>826</v>
      </c>
      <c r="C1062" s="145"/>
      <c r="D1062" s="145"/>
      <c r="E1062" s="145"/>
      <c r="F1062" s="203"/>
      <c r="G1062" s="419">
        <v>55000</v>
      </c>
      <c r="H1062" s="419">
        <v>11995</v>
      </c>
      <c r="I1062" s="419">
        <v>12000</v>
      </c>
      <c r="J1062" s="419">
        <v>55000</v>
      </c>
      <c r="K1062" s="419">
        <v>55000</v>
      </c>
    </row>
    <row r="1063" spans="1:11" x14ac:dyDescent="0.25">
      <c r="A1063" s="418">
        <v>650.19000000000005</v>
      </c>
      <c r="B1063" s="116" t="s">
        <v>1030</v>
      </c>
      <c r="C1063" s="145"/>
      <c r="D1063" s="145"/>
      <c r="E1063" s="145"/>
      <c r="F1063" s="203"/>
      <c r="G1063" s="419">
        <v>50000</v>
      </c>
      <c r="H1063" s="419">
        <v>0</v>
      </c>
      <c r="I1063" s="419">
        <v>0</v>
      </c>
      <c r="J1063" s="419"/>
      <c r="K1063" s="419"/>
    </row>
    <row r="1064" spans="1:11" x14ac:dyDescent="0.25">
      <c r="A1064" s="421">
        <v>650.20000000000005</v>
      </c>
      <c r="B1064" s="116" t="s">
        <v>831</v>
      </c>
      <c r="C1064" s="145"/>
      <c r="D1064" s="145"/>
      <c r="E1064" s="145"/>
      <c r="F1064" s="203"/>
      <c r="G1064" s="419">
        <v>70000</v>
      </c>
      <c r="H1064" s="419">
        <v>15139</v>
      </c>
      <c r="I1064" s="419">
        <v>18088</v>
      </c>
      <c r="J1064" s="419">
        <v>70000</v>
      </c>
      <c r="K1064" s="419">
        <v>70000</v>
      </c>
    </row>
    <row r="1065" spans="1:11" x14ac:dyDescent="0.25">
      <c r="A1065" s="418">
        <v>650.21</v>
      </c>
      <c r="B1065" s="116" t="s">
        <v>1031</v>
      </c>
      <c r="C1065" s="145"/>
      <c r="D1065" s="145"/>
      <c r="E1065" s="145"/>
      <c r="F1065" s="203"/>
      <c r="G1065" s="419">
        <v>40000</v>
      </c>
      <c r="H1065" s="419">
        <v>35810</v>
      </c>
      <c r="I1065" s="419">
        <v>35810</v>
      </c>
      <c r="J1065" s="419">
        <v>0</v>
      </c>
      <c r="K1065" s="419">
        <v>0</v>
      </c>
    </row>
    <row r="1066" spans="1:11" x14ac:dyDescent="0.25">
      <c r="A1066" s="418">
        <v>650.22</v>
      </c>
      <c r="B1066" s="116" t="s">
        <v>1032</v>
      </c>
      <c r="C1066" s="145"/>
      <c r="D1066" s="145"/>
      <c r="E1066" s="145"/>
      <c r="F1066" s="203"/>
      <c r="G1066" s="419">
        <v>44000</v>
      </c>
      <c r="H1066" s="419">
        <v>0</v>
      </c>
      <c r="I1066" s="419">
        <v>29483</v>
      </c>
      <c r="J1066" s="419">
        <v>0</v>
      </c>
      <c r="K1066" s="419">
        <v>0</v>
      </c>
    </row>
    <row r="1067" spans="1:11" x14ac:dyDescent="0.25">
      <c r="A1067" s="418">
        <v>650.23</v>
      </c>
      <c r="B1067" s="116" t="s">
        <v>1033</v>
      </c>
      <c r="C1067" s="145"/>
      <c r="D1067" s="145"/>
      <c r="E1067" s="145"/>
      <c r="F1067" s="203"/>
      <c r="G1067" s="419">
        <v>40000</v>
      </c>
      <c r="H1067" s="419">
        <v>0</v>
      </c>
      <c r="I1067" s="419">
        <v>40000</v>
      </c>
      <c r="J1067" s="419">
        <v>0</v>
      </c>
      <c r="K1067" s="419">
        <v>0</v>
      </c>
    </row>
    <row r="1068" spans="1:11" x14ac:dyDescent="0.25">
      <c r="A1068" s="418">
        <v>650.24</v>
      </c>
      <c r="B1068" s="116" t="s">
        <v>880</v>
      </c>
      <c r="C1068" s="145"/>
      <c r="D1068" s="145"/>
      <c r="E1068" s="145"/>
      <c r="F1068" s="203"/>
      <c r="G1068" s="419">
        <v>88000</v>
      </c>
      <c r="H1068" s="419">
        <v>113549</v>
      </c>
      <c r="I1068" s="419">
        <v>113549</v>
      </c>
      <c r="J1068" s="419">
        <v>0</v>
      </c>
      <c r="K1068" s="419">
        <v>0</v>
      </c>
    </row>
    <row r="1069" spans="1:11" x14ac:dyDescent="0.25">
      <c r="A1069" s="418">
        <v>650.25</v>
      </c>
      <c r="B1069" s="116" t="s">
        <v>1034</v>
      </c>
      <c r="G1069" s="422">
        <v>0</v>
      </c>
      <c r="H1069" s="419">
        <v>4730</v>
      </c>
      <c r="I1069" s="419">
        <v>4730</v>
      </c>
      <c r="J1069" s="419">
        <v>85000</v>
      </c>
      <c r="K1069" s="419">
        <v>85000</v>
      </c>
    </row>
    <row r="1070" spans="1:11" x14ac:dyDescent="0.25">
      <c r="A1070" s="418">
        <v>650.26</v>
      </c>
      <c r="B1070" s="116" t="s">
        <v>881</v>
      </c>
      <c r="C1070" s="145"/>
      <c r="D1070" s="145"/>
      <c r="E1070" s="145"/>
      <c r="F1070" s="203"/>
      <c r="G1070" s="419">
        <v>5000</v>
      </c>
      <c r="H1070" s="419">
        <v>9859</v>
      </c>
      <c r="I1070" s="419">
        <v>9859</v>
      </c>
      <c r="J1070" s="419">
        <v>5000</v>
      </c>
      <c r="K1070" s="419">
        <v>5000</v>
      </c>
    </row>
    <row r="1071" spans="1:11" x14ac:dyDescent="0.25">
      <c r="A1071" s="418">
        <v>650.27</v>
      </c>
      <c r="B1071" s="116" t="s">
        <v>884</v>
      </c>
      <c r="C1071" s="145"/>
      <c r="D1071" s="145"/>
      <c r="E1071" s="145"/>
      <c r="F1071" s="203"/>
      <c r="G1071" s="419">
        <v>32000</v>
      </c>
      <c r="H1071" s="419">
        <v>0</v>
      </c>
      <c r="I1071" s="419">
        <v>0</v>
      </c>
      <c r="J1071" s="419">
        <v>32850</v>
      </c>
      <c r="K1071" s="419">
        <v>32850</v>
      </c>
    </row>
    <row r="1072" spans="1:11" x14ac:dyDescent="0.25">
      <c r="A1072" s="418">
        <v>650.28</v>
      </c>
      <c r="B1072" s="116" t="s">
        <v>885</v>
      </c>
      <c r="C1072" s="145"/>
      <c r="D1072" s="145"/>
      <c r="E1072" s="145"/>
      <c r="F1072" s="203"/>
      <c r="G1072" s="419">
        <v>57700</v>
      </c>
      <c r="H1072" s="419">
        <v>0</v>
      </c>
      <c r="I1072" s="419">
        <v>0</v>
      </c>
      <c r="J1072" s="420">
        <v>57700</v>
      </c>
      <c r="K1072" s="420">
        <v>57700</v>
      </c>
    </row>
    <row r="1073" spans="1:11" x14ac:dyDescent="0.25">
      <c r="A1073" s="418">
        <v>650.29</v>
      </c>
      <c r="B1073" s="116" t="s">
        <v>1035</v>
      </c>
      <c r="C1073" s="145"/>
      <c r="D1073" s="145"/>
      <c r="E1073" s="145"/>
      <c r="F1073" s="203"/>
      <c r="G1073" s="419">
        <v>85000</v>
      </c>
      <c r="H1073" s="419">
        <v>88630</v>
      </c>
      <c r="I1073" s="419">
        <v>88630</v>
      </c>
      <c r="J1073" s="419">
        <v>0</v>
      </c>
      <c r="K1073" s="419">
        <v>0</v>
      </c>
    </row>
    <row r="1074" spans="1:11" x14ac:dyDescent="0.25">
      <c r="A1074" s="421">
        <v>650.29999999999995</v>
      </c>
      <c r="B1074" s="116" t="s">
        <v>1036</v>
      </c>
      <c r="C1074" s="145"/>
      <c r="D1074" s="145"/>
      <c r="E1074" s="145"/>
      <c r="F1074" s="203">
        <v>0</v>
      </c>
      <c r="G1074" s="419">
        <v>42300</v>
      </c>
      <c r="H1074" s="419">
        <v>4116</v>
      </c>
      <c r="I1074" s="419">
        <v>4116</v>
      </c>
      <c r="J1074" s="419">
        <v>42300</v>
      </c>
      <c r="K1074" s="419">
        <v>42300</v>
      </c>
    </row>
    <row r="1075" spans="1:11" x14ac:dyDescent="0.25">
      <c r="A1075" s="421">
        <v>650.9</v>
      </c>
      <c r="B1075" s="116" t="s">
        <v>996</v>
      </c>
      <c r="C1075" s="145"/>
      <c r="D1075" s="145"/>
      <c r="E1075" s="145"/>
      <c r="F1075" s="203"/>
      <c r="G1075" s="419">
        <v>0</v>
      </c>
      <c r="H1075" s="419">
        <v>0</v>
      </c>
      <c r="I1075" s="419">
        <v>0</v>
      </c>
      <c r="J1075" s="419">
        <f>60000/3</f>
        <v>20000</v>
      </c>
      <c r="K1075" s="419">
        <f>60000/3</f>
        <v>20000</v>
      </c>
    </row>
    <row r="1076" spans="1:11" x14ac:dyDescent="0.25">
      <c r="A1076" s="421">
        <v>651</v>
      </c>
      <c r="B1076" s="116" t="s">
        <v>1041</v>
      </c>
      <c r="C1076" s="145"/>
      <c r="D1076" s="145"/>
      <c r="E1076" s="145"/>
      <c r="F1076" s="203"/>
      <c r="G1076" s="419">
        <v>0</v>
      </c>
      <c r="H1076" s="419">
        <v>0</v>
      </c>
      <c r="I1076" s="419">
        <v>0</v>
      </c>
      <c r="J1076" s="419">
        <v>335000</v>
      </c>
      <c r="K1076" s="419">
        <v>335000</v>
      </c>
    </row>
    <row r="1077" spans="1:11" x14ac:dyDescent="0.25">
      <c r="A1077" s="421">
        <v>652</v>
      </c>
      <c r="B1077" s="116" t="s">
        <v>1038</v>
      </c>
      <c r="G1077" s="422">
        <v>0</v>
      </c>
      <c r="H1077" s="419">
        <v>0</v>
      </c>
      <c r="I1077" s="419">
        <v>0</v>
      </c>
      <c r="J1077" s="419">
        <v>100000</v>
      </c>
      <c r="K1077" s="419">
        <v>100000</v>
      </c>
    </row>
    <row r="1078" spans="1:11" x14ac:dyDescent="0.25">
      <c r="A1078" s="421">
        <v>653</v>
      </c>
      <c r="B1078" s="116" t="s">
        <v>1039</v>
      </c>
      <c r="C1078" s="145"/>
      <c r="D1078" s="145"/>
      <c r="E1078" s="145"/>
      <c r="F1078" s="203"/>
      <c r="G1078" s="419">
        <v>0</v>
      </c>
      <c r="H1078" s="419">
        <v>0</v>
      </c>
      <c r="I1078" s="419">
        <v>0</v>
      </c>
      <c r="J1078" s="419">
        <v>185000</v>
      </c>
      <c r="K1078" s="419">
        <v>185000</v>
      </c>
    </row>
    <row r="1079" spans="1:11" x14ac:dyDescent="0.25">
      <c r="A1079" s="421">
        <v>654</v>
      </c>
      <c r="B1079" s="116" t="s">
        <v>1040</v>
      </c>
      <c r="C1079" s="145"/>
      <c r="D1079" s="145"/>
      <c r="E1079" s="145"/>
      <c r="F1079" s="203"/>
      <c r="G1079" s="419">
        <v>0</v>
      </c>
      <c r="H1079" s="419">
        <v>0</v>
      </c>
      <c r="I1079" s="419">
        <v>0</v>
      </c>
      <c r="J1079" s="419">
        <v>275000</v>
      </c>
      <c r="K1079" s="419">
        <v>275000</v>
      </c>
    </row>
    <row r="1080" spans="1:11" x14ac:dyDescent="0.25">
      <c r="A1080" s="421">
        <v>655</v>
      </c>
      <c r="B1080" s="116" t="s">
        <v>1047</v>
      </c>
      <c r="C1080" s="145"/>
      <c r="D1080" s="145"/>
      <c r="E1080" s="145"/>
      <c r="F1080" s="203"/>
      <c r="G1080" s="419">
        <v>0</v>
      </c>
      <c r="H1080" s="419">
        <v>0</v>
      </c>
      <c r="I1080" s="419">
        <v>0</v>
      </c>
      <c r="J1080" s="419">
        <v>700000</v>
      </c>
      <c r="K1080" s="419">
        <v>700000</v>
      </c>
    </row>
    <row r="1081" spans="1:11" ht="23.25" customHeight="1" x14ac:dyDescent="0.25">
      <c r="A1081" s="423">
        <v>659</v>
      </c>
      <c r="B1081" s="125" t="s">
        <v>1048</v>
      </c>
      <c r="G1081" s="424">
        <v>0</v>
      </c>
      <c r="H1081" s="425">
        <v>0</v>
      </c>
      <c r="I1081" s="425">
        <v>0</v>
      </c>
      <c r="J1081" s="425">
        <v>700000</v>
      </c>
      <c r="K1081" s="425">
        <v>700000</v>
      </c>
    </row>
    <row r="1082" spans="1:11" x14ac:dyDescent="0.25">
      <c r="A1082" s="409"/>
      <c r="B1082" s="98" t="s">
        <v>538</v>
      </c>
      <c r="C1082" s="145"/>
      <c r="D1082" s="145"/>
      <c r="E1082" s="145"/>
      <c r="F1082" s="203">
        <f>SUM(F1057:F1078)</f>
        <v>249298</v>
      </c>
      <c r="G1082" s="426">
        <f>SUM(G1056:G1081)</f>
        <v>1214497</v>
      </c>
      <c r="H1082" s="426">
        <f>SUM(H1056:H1081)</f>
        <v>764241</v>
      </c>
      <c r="I1082" s="426">
        <f>SUM(I1056:I1081)</f>
        <v>879662</v>
      </c>
      <c r="J1082" s="426">
        <f>SUM(J1056:J1081)</f>
        <v>3083065</v>
      </c>
      <c r="K1082" s="426">
        <f>SUM(K1052:K1081)</f>
        <v>3153065</v>
      </c>
    </row>
    <row r="1083" spans="1:11" x14ac:dyDescent="0.25">
      <c r="A1083" s="409"/>
      <c r="B1083" s="117"/>
      <c r="C1083" s="145"/>
      <c r="D1083" s="145"/>
      <c r="E1083" s="145"/>
      <c r="F1083" s="203"/>
      <c r="G1083" s="242"/>
      <c r="H1083" s="242"/>
      <c r="I1083" s="242"/>
      <c r="J1083" s="427"/>
    </row>
    <row r="1084" spans="1:11" x14ac:dyDescent="0.25">
      <c r="A1084" s="417">
        <v>680.02</v>
      </c>
      <c r="B1084" s="108" t="s">
        <v>887</v>
      </c>
      <c r="C1084" s="145"/>
      <c r="D1084" s="145"/>
      <c r="E1084" s="145"/>
      <c r="F1084" s="203"/>
      <c r="G1084" s="235">
        <v>26000</v>
      </c>
      <c r="H1084" s="235">
        <v>0</v>
      </c>
      <c r="I1084" s="235">
        <v>0</v>
      </c>
      <c r="J1084" s="235">
        <v>30000</v>
      </c>
      <c r="K1084" s="235">
        <v>30000</v>
      </c>
    </row>
    <row r="1085" spans="1:11" x14ac:dyDescent="0.25">
      <c r="A1085" s="418">
        <v>680.04</v>
      </c>
      <c r="B1085" s="116" t="s">
        <v>886</v>
      </c>
      <c r="C1085" s="145"/>
      <c r="D1085" s="145"/>
      <c r="E1085" s="145"/>
      <c r="F1085" s="203"/>
      <c r="G1085" s="253">
        <v>200000</v>
      </c>
      <c r="H1085" s="253">
        <v>12273</v>
      </c>
      <c r="I1085" s="253">
        <v>12273</v>
      </c>
      <c r="J1085" s="253">
        <v>200000</v>
      </c>
      <c r="K1085" s="253">
        <v>200000</v>
      </c>
    </row>
    <row r="1086" spans="1:11" x14ac:dyDescent="0.25">
      <c r="A1086" s="418">
        <v>680.05</v>
      </c>
      <c r="B1086" s="116" t="s">
        <v>931</v>
      </c>
      <c r="C1086" s="145"/>
      <c r="D1086" s="145"/>
      <c r="E1086" s="145"/>
      <c r="F1086" s="203"/>
      <c r="G1086" s="253">
        <v>0</v>
      </c>
      <c r="H1086" s="253">
        <v>1261</v>
      </c>
      <c r="I1086" s="253">
        <v>1261</v>
      </c>
      <c r="J1086" s="253">
        <v>0</v>
      </c>
      <c r="K1086" s="253">
        <v>0</v>
      </c>
    </row>
    <row r="1087" spans="1:11" x14ac:dyDescent="0.25">
      <c r="A1087" s="428">
        <v>680.07</v>
      </c>
      <c r="B1087" s="125" t="s">
        <v>932</v>
      </c>
      <c r="G1087" s="429">
        <v>0</v>
      </c>
      <c r="H1087" s="234">
        <v>22914</v>
      </c>
      <c r="I1087" s="234">
        <v>22914</v>
      </c>
      <c r="J1087" s="234">
        <v>0</v>
      </c>
      <c r="K1087" s="234">
        <v>0</v>
      </c>
    </row>
    <row r="1088" spans="1:11" x14ac:dyDescent="0.25">
      <c r="A1088" s="409"/>
      <c r="B1088" s="98" t="s">
        <v>888</v>
      </c>
      <c r="C1088" s="145"/>
      <c r="D1088" s="145"/>
      <c r="E1088" s="145"/>
      <c r="F1088" s="203"/>
      <c r="G1088" s="426">
        <f>SUM(G1085:G1087)</f>
        <v>200000</v>
      </c>
      <c r="H1088" s="426">
        <f t="shared" ref="H1088:J1088" si="103">SUM(H1084:H1087)</f>
        <v>36448</v>
      </c>
      <c r="I1088" s="426">
        <f t="shared" si="103"/>
        <v>36448</v>
      </c>
      <c r="J1088" s="426">
        <f t="shared" si="103"/>
        <v>230000</v>
      </c>
      <c r="K1088" s="163">
        <f>SUM(K1084:K1087)</f>
        <v>230000</v>
      </c>
    </row>
    <row r="1089" spans="1:11" ht="10.5" customHeight="1" x14ac:dyDescent="0.25">
      <c r="A1089" s="409"/>
      <c r="B1089" s="98"/>
      <c r="C1089" s="145"/>
      <c r="D1089" s="145"/>
      <c r="E1089" s="145"/>
      <c r="F1089" s="203"/>
      <c r="G1089" s="242"/>
      <c r="H1089" s="242"/>
      <c r="I1089" s="242"/>
      <c r="J1089" s="427"/>
    </row>
    <row r="1090" spans="1:11" x14ac:dyDescent="0.25">
      <c r="A1090" s="409"/>
      <c r="B1090" s="98" t="s">
        <v>353</v>
      </c>
      <c r="C1090" s="145"/>
      <c r="D1090" s="145"/>
      <c r="E1090" s="145"/>
      <c r="F1090" s="203" t="e">
        <f>SUM(F1057+F1058+#REF!+F1074+F1078)</f>
        <v>#REF!</v>
      </c>
      <c r="G1090" s="430">
        <f>SUM(G1082+G1088)</f>
        <v>1414497</v>
      </c>
      <c r="H1090" s="430">
        <v>839116</v>
      </c>
      <c r="I1090" s="430">
        <f>SUM(I1082+I1088)</f>
        <v>916110</v>
      </c>
      <c r="J1090" s="430">
        <f>SUM(J1082+J1088)</f>
        <v>3313065</v>
      </c>
      <c r="K1090" s="430">
        <f>SUM(K1082+K1088)</f>
        <v>3383065</v>
      </c>
    </row>
    <row r="1091" spans="1:11" x14ac:dyDescent="0.25">
      <c r="A1091" s="409"/>
      <c r="B1091" s="98"/>
      <c r="C1091" s="145"/>
      <c r="D1091" s="145"/>
      <c r="E1091" s="145"/>
      <c r="F1091" s="203"/>
      <c r="G1091" s="426"/>
      <c r="H1091" s="426"/>
      <c r="I1091" s="426"/>
      <c r="J1091" s="431"/>
    </row>
    <row r="1092" spans="1:11" ht="18.75" thickBot="1" x14ac:dyDescent="0.3">
      <c r="A1092" s="409"/>
      <c r="B1092" s="98" t="s">
        <v>47</v>
      </c>
      <c r="C1092" s="145"/>
      <c r="D1092" s="145"/>
      <c r="E1092" s="145"/>
      <c r="F1092" s="203" t="e">
        <f t="shared" ref="F1092:K1092" si="104">SUM(F1024+F1049-F1090)</f>
        <v>#REF!</v>
      </c>
      <c r="G1092" s="432">
        <f t="shared" si="104"/>
        <v>4000086</v>
      </c>
      <c r="H1092" s="432">
        <f t="shared" si="104"/>
        <v>-385625</v>
      </c>
      <c r="I1092" s="432">
        <f t="shared" si="104"/>
        <v>158390</v>
      </c>
      <c r="J1092" s="432">
        <f t="shared" si="104"/>
        <v>2320935</v>
      </c>
      <c r="K1092" s="432">
        <f t="shared" si="104"/>
        <v>2250935</v>
      </c>
    </row>
    <row r="1093" spans="1:11" ht="18.75" thickTop="1" x14ac:dyDescent="0.25">
      <c r="A1093" s="409"/>
      <c r="B1093" s="98"/>
      <c r="C1093" s="145"/>
      <c r="D1093" s="145"/>
      <c r="E1093" s="145"/>
      <c r="F1093" s="203"/>
      <c r="G1093" s="242"/>
      <c r="H1093" s="242"/>
      <c r="I1093" s="242"/>
      <c r="J1093" s="396"/>
    </row>
    <row r="1094" spans="1:11" x14ac:dyDescent="0.25">
      <c r="A1094" s="409"/>
      <c r="B1094" s="98"/>
      <c r="C1094" s="145"/>
      <c r="D1094" s="145"/>
      <c r="E1094" s="145"/>
      <c r="F1094" s="203"/>
      <c r="G1094" s="203"/>
      <c r="H1094" s="203"/>
      <c r="I1094" s="203"/>
      <c r="J1094" s="433"/>
    </row>
    <row r="1095" spans="1:11" x14ac:dyDescent="0.25">
      <c r="A1095" s="409"/>
      <c r="B1095" s="98"/>
      <c r="C1095" s="145"/>
      <c r="D1095" s="145"/>
      <c r="E1095" s="145"/>
      <c r="F1095" s="203"/>
      <c r="G1095" s="203"/>
      <c r="H1095" s="203"/>
      <c r="I1095" s="203"/>
      <c r="J1095" s="433"/>
    </row>
    <row r="1096" spans="1:11" x14ac:dyDescent="0.25">
      <c r="A1096" s="409"/>
      <c r="B1096" s="98"/>
      <c r="C1096" s="145"/>
      <c r="D1096" s="145"/>
      <c r="E1096" s="145"/>
      <c r="F1096" s="203"/>
      <c r="G1096" s="203"/>
      <c r="H1096" s="203"/>
      <c r="I1096" s="203"/>
      <c r="J1096" s="433"/>
    </row>
    <row r="1097" spans="1:11" x14ac:dyDescent="0.25">
      <c r="A1097" s="409"/>
      <c r="B1097" s="98"/>
      <c r="C1097" s="145"/>
      <c r="D1097" s="145"/>
      <c r="E1097" s="145"/>
      <c r="F1097" s="203"/>
      <c r="G1097" s="203"/>
      <c r="H1097" s="203"/>
      <c r="I1097" s="203"/>
      <c r="J1097" s="433"/>
    </row>
    <row r="1098" spans="1:11" x14ac:dyDescent="0.25">
      <c r="A1098" s="409"/>
      <c r="B1098" s="98"/>
      <c r="C1098" s="145"/>
      <c r="D1098" s="145"/>
      <c r="E1098" s="145"/>
      <c r="F1098" s="203"/>
      <c r="G1098" s="203"/>
      <c r="H1098" s="203"/>
      <c r="I1098" s="203"/>
      <c r="J1098" s="433"/>
    </row>
    <row r="1099" spans="1:11" x14ac:dyDescent="0.25">
      <c r="A1099" s="409"/>
      <c r="B1099" s="98"/>
      <c r="C1099" s="145"/>
      <c r="D1099" s="145"/>
      <c r="E1099" s="145"/>
      <c r="F1099" s="145"/>
      <c r="G1099" s="145"/>
      <c r="H1099" s="145"/>
      <c r="I1099" s="145"/>
      <c r="J1099" s="433"/>
    </row>
    <row r="1100" spans="1:11" x14ac:dyDescent="0.25">
      <c r="A1100" s="98"/>
      <c r="B1100" s="98"/>
      <c r="C1100" s="145"/>
      <c r="D1100" s="145"/>
      <c r="E1100" s="145"/>
      <c r="F1100" s="145"/>
      <c r="G1100" s="145"/>
      <c r="H1100" s="145"/>
      <c r="I1100" s="145"/>
      <c r="J1100" s="433"/>
    </row>
    <row r="1101" spans="1:11" x14ac:dyDescent="0.25">
      <c r="A1101" s="98"/>
      <c r="B1101" s="409"/>
      <c r="C1101" s="434"/>
      <c r="D1101" s="434"/>
      <c r="E1101" s="434"/>
      <c r="F1101" s="434"/>
      <c r="G1101" s="401" t="s">
        <v>65</v>
      </c>
      <c r="H1101" s="434"/>
      <c r="I1101" s="434"/>
      <c r="J1101" s="433"/>
    </row>
    <row r="1102" spans="1:11" x14ac:dyDescent="0.25">
      <c r="A1102" s="98"/>
      <c r="B1102" s="409"/>
      <c r="C1102" s="434"/>
      <c r="D1102" s="434"/>
      <c r="E1102" s="434"/>
      <c r="F1102" s="434"/>
      <c r="G1102" s="434"/>
      <c r="H1102" s="434"/>
      <c r="I1102" s="434"/>
      <c r="J1102" s="433"/>
    </row>
    <row r="1103" spans="1:11" x14ac:dyDescent="0.25">
      <c r="A1103" s="98"/>
      <c r="B1103" s="435" t="s">
        <v>66</v>
      </c>
      <c r="C1103" s="145"/>
      <c r="D1103" s="145"/>
      <c r="E1103" s="145"/>
      <c r="F1103" s="401" t="s">
        <v>70</v>
      </c>
      <c r="G1103" s="436">
        <v>0</v>
      </c>
      <c r="H1103" s="436">
        <v>0.02</v>
      </c>
      <c r="I1103" s="436">
        <v>0.03</v>
      </c>
      <c r="J1103" s="436">
        <v>0.04</v>
      </c>
    </row>
    <row r="1104" spans="1:11" x14ac:dyDescent="0.25">
      <c r="A1104" s="98"/>
      <c r="B1104" s="98"/>
      <c r="C1104" s="145"/>
      <c r="D1104" s="145"/>
      <c r="E1104" s="145"/>
      <c r="F1104" s="145"/>
      <c r="G1104" s="145"/>
      <c r="H1104" s="145"/>
      <c r="I1104" s="145"/>
      <c r="J1104" s="433"/>
    </row>
    <row r="1105" spans="1:10" x14ac:dyDescent="0.25">
      <c r="A1105" s="98"/>
      <c r="B1105" s="437" t="s">
        <v>67</v>
      </c>
      <c r="C1105" s="145"/>
      <c r="D1105" s="145"/>
      <c r="E1105" s="145"/>
      <c r="F1105" s="226">
        <f>SUM(I65+I129+I182+I274+I321+I430+I480+I610)</f>
        <v>1305984</v>
      </c>
      <c r="G1105" s="163">
        <f>SUM(J65+J129+J182+J274+J321+J430+J480+J610+J669+J734+J796)</f>
        <v>2090437.7989999996</v>
      </c>
      <c r="H1105" s="163">
        <f>SUM(G1105*1.02)</f>
        <v>2132246.5549799995</v>
      </c>
      <c r="I1105" s="163">
        <f>SUM(G1105*1.03)</f>
        <v>2153150.9329699995</v>
      </c>
      <c r="J1105" s="427">
        <f>+SUM(G1105*1.04)</f>
        <v>2174055.3109599999</v>
      </c>
    </row>
    <row r="1106" spans="1:10" x14ac:dyDescent="0.25">
      <c r="A1106" s="98"/>
      <c r="B1106" s="98" t="s">
        <v>19</v>
      </c>
      <c r="C1106" s="145"/>
      <c r="D1106" s="145"/>
      <c r="E1106" s="145"/>
      <c r="F1106" s="145">
        <f>SUM(I69+I132+I186+I277+I324+I434+I483+I613)</f>
        <v>99619.543999999994</v>
      </c>
      <c r="G1106" s="163">
        <f>SUM(J69+J132+J186+J277+J324+J434+J483+J613+J672+J737+J799)</f>
        <v>161006.43343599999</v>
      </c>
      <c r="H1106" s="163">
        <f>SUM(G1106*1.02)</f>
        <v>164226.56210471998</v>
      </c>
      <c r="I1106" s="163">
        <f>SUM(G1106*1.03)</f>
        <v>165836.62643907999</v>
      </c>
      <c r="J1106" s="427">
        <f>+SUM(G1106*1.04)</f>
        <v>167446.69077344</v>
      </c>
    </row>
    <row r="1107" spans="1:10" x14ac:dyDescent="0.25">
      <c r="A1107" s="98"/>
      <c r="B1107" s="98" t="s">
        <v>68</v>
      </c>
      <c r="C1107" s="145"/>
      <c r="D1107" s="145"/>
      <c r="E1107" s="145"/>
      <c r="F1107" s="145">
        <f>SUM(I70+I133+I187+I278+I325+I435+I484+I614)</f>
        <v>65560.396800000002</v>
      </c>
      <c r="G1107" s="163">
        <f>SUM(J70+J133+J187+J278+J325+J435+J484+J614+J673+J738+J800)</f>
        <v>101132.13745813334</v>
      </c>
      <c r="H1107" s="163">
        <f>SUM(G1107*1.02)</f>
        <v>103154.780207296</v>
      </c>
      <c r="I1107" s="163">
        <f>SUM(G1107*1.03)</f>
        <v>104166.10158187734</v>
      </c>
      <c r="J1107" s="427">
        <f>+SUM(G1107*1.04)</f>
        <v>105177.42295645867</v>
      </c>
    </row>
    <row r="1108" spans="1:10" x14ac:dyDescent="0.25">
      <c r="A1108" s="98"/>
      <c r="B1108" s="98" t="s">
        <v>69</v>
      </c>
      <c r="C1108" s="145"/>
      <c r="D1108" s="145"/>
      <c r="E1108" s="145"/>
      <c r="F1108" s="145">
        <f>SUM(I71+I134+I188+I279+I326+I436+I485+I615)</f>
        <v>37120</v>
      </c>
      <c r="G1108" s="163">
        <f>SUM(J71+J134+J188+J279+J326+J436+J485+J615+J674+J739+J801)</f>
        <v>46698.235000000001</v>
      </c>
      <c r="H1108" s="163">
        <f>SUM(G1108*1.02)</f>
        <v>47632.199700000005</v>
      </c>
      <c r="I1108" s="163">
        <f>SUM(G1108*1.03)</f>
        <v>48099.182050000003</v>
      </c>
      <c r="J1108" s="427">
        <f>+SUM(G1108*1.04)</f>
        <v>48566.164400000001</v>
      </c>
    </row>
    <row r="1109" spans="1:10" x14ac:dyDescent="0.25">
      <c r="B1109" s="98"/>
      <c r="C1109" s="145"/>
      <c r="D1109" s="145"/>
      <c r="E1109" s="145"/>
      <c r="F1109" s="145"/>
      <c r="G1109" s="163"/>
      <c r="H1109" s="163"/>
      <c r="I1109" s="163"/>
      <c r="J1109" s="427"/>
    </row>
    <row r="1110" spans="1:10" x14ac:dyDescent="0.25">
      <c r="B1110" s="98" t="s">
        <v>13</v>
      </c>
      <c r="C1110" s="145"/>
      <c r="D1110" s="145"/>
      <c r="E1110" s="145"/>
      <c r="F1110" s="145">
        <f>SUM(F1105:F1109)</f>
        <v>1508283.9408</v>
      </c>
      <c r="G1110" s="163">
        <f>SUM(G1105:G1109)</f>
        <v>2399274.6048941328</v>
      </c>
      <c r="H1110" s="163">
        <f>SUM(H1105:H1109)</f>
        <v>2447260.0969920158</v>
      </c>
      <c r="I1110" s="163">
        <f>SUM(I1105:I1109)</f>
        <v>2471252.8430409571</v>
      </c>
      <c r="J1110" s="427">
        <f>SUM(J1105:J1109)</f>
        <v>2495245.5890898989</v>
      </c>
    </row>
    <row r="1111" spans="1:10" x14ac:dyDescent="0.25">
      <c r="C1111" s="433"/>
      <c r="D1111" s="433"/>
      <c r="E1111" s="433"/>
      <c r="F1111" s="433"/>
      <c r="G1111" s="171"/>
      <c r="H1111" s="171"/>
      <c r="I1111" s="171"/>
      <c r="J1111" s="427"/>
    </row>
    <row r="1112" spans="1:10" x14ac:dyDescent="0.25">
      <c r="B1112" s="98" t="s">
        <v>677</v>
      </c>
      <c r="C1112" s="433"/>
      <c r="D1112" s="433"/>
      <c r="E1112" s="433"/>
      <c r="F1112" s="433"/>
      <c r="G1112" s="163"/>
      <c r="H1112" s="163">
        <f>SUM(H1110-G1110)</f>
        <v>47985.49209788302</v>
      </c>
      <c r="I1112" s="163">
        <f>SUM(I1110-G1110)</f>
        <v>71978.238146824297</v>
      </c>
      <c r="J1112" s="427">
        <f>SUM(J1110-G1110)</f>
        <v>95970.984195766039</v>
      </c>
    </row>
    <row r="1113" spans="1:10" x14ac:dyDescent="0.25">
      <c r="C1113" s="433"/>
      <c r="D1113" s="433"/>
      <c r="E1113" s="433"/>
      <c r="F1113" s="433"/>
      <c r="G1113" s="171"/>
      <c r="H1113" s="171"/>
      <c r="I1113" s="171"/>
      <c r="J1113" s="427"/>
    </row>
    <row r="1114" spans="1:10" x14ac:dyDescent="0.25">
      <c r="C1114" s="433"/>
      <c r="D1114" s="433"/>
      <c r="E1114" s="433"/>
      <c r="F1114" s="433"/>
      <c r="G1114" s="171"/>
      <c r="H1114" s="171"/>
      <c r="I1114" s="171"/>
      <c r="J1114" s="427"/>
    </row>
    <row r="1115" spans="1:10" x14ac:dyDescent="0.25">
      <c r="B1115" s="228" t="s">
        <v>837</v>
      </c>
      <c r="C1115" s="156"/>
      <c r="D1115" s="156"/>
      <c r="E1115" s="156"/>
      <c r="F1115" s="156"/>
      <c r="G1115" s="310">
        <f>SUM(G1112*0.9454)</f>
        <v>0</v>
      </c>
      <c r="H1115" s="310">
        <f>SUM(H1112*0.6009)</f>
        <v>28834.482201617906</v>
      </c>
      <c r="I1115" s="310">
        <f>SUM(I1112*0.6009)</f>
        <v>43251.723302426719</v>
      </c>
      <c r="J1115" s="396">
        <f>SUM(J1112*0.6009)</f>
        <v>57668.964403235812</v>
      </c>
    </row>
    <row r="1116" spans="1:10" x14ac:dyDescent="0.25">
      <c r="B1116" s="228" t="s">
        <v>838</v>
      </c>
      <c r="C1116" s="156"/>
      <c r="D1116" s="156"/>
      <c r="E1116" s="156"/>
      <c r="F1116" s="156"/>
      <c r="G1116" s="310">
        <f>SUM(G1112*0.0546)</f>
        <v>0</v>
      </c>
      <c r="H1116" s="310">
        <f>SUM(H1112*0.3991)</f>
        <v>19151.009896265114</v>
      </c>
      <c r="I1116" s="310">
        <f>SUM(I1112*0.3991)</f>
        <v>28726.514844397578</v>
      </c>
      <c r="J1116" s="396">
        <f>SUM(J1112*0.3991)</f>
        <v>38302.019792530227</v>
      </c>
    </row>
    <row r="1117" spans="1:10" x14ac:dyDescent="0.25">
      <c r="C1117" s="433"/>
      <c r="D1117" s="433"/>
      <c r="E1117" s="433"/>
      <c r="F1117" s="433"/>
      <c r="G1117" s="171"/>
      <c r="H1117" s="171"/>
      <c r="I1117" s="171"/>
      <c r="J1117" s="171"/>
    </row>
    <row r="1118" spans="1:10" x14ac:dyDescent="0.25">
      <c r="C1118" s="433"/>
      <c r="D1118" s="433"/>
      <c r="E1118" s="433"/>
      <c r="F1118" s="433"/>
      <c r="G1118" s="171"/>
      <c r="H1118" s="171"/>
      <c r="I1118" s="171"/>
      <c r="J1118" s="171"/>
    </row>
    <row r="1119" spans="1:10" x14ac:dyDescent="0.25">
      <c r="C1119" s="433"/>
      <c r="D1119" s="433"/>
      <c r="E1119" s="433"/>
      <c r="F1119" s="433"/>
      <c r="G1119" s="171"/>
      <c r="H1119" s="171"/>
      <c r="I1119" s="171"/>
      <c r="J1119" s="171"/>
    </row>
    <row r="1120" spans="1:10" x14ac:dyDescent="0.25">
      <c r="C1120" s="433"/>
      <c r="D1120" s="433"/>
      <c r="E1120" s="433"/>
      <c r="F1120" s="433"/>
      <c r="G1120" s="171"/>
      <c r="H1120" s="171"/>
      <c r="I1120" s="171"/>
      <c r="J1120" s="171"/>
    </row>
    <row r="1121" spans="3:10" x14ac:dyDescent="0.25">
      <c r="C1121" s="433"/>
      <c r="D1121" s="433"/>
      <c r="E1121" s="433"/>
      <c r="F1121" s="433"/>
      <c r="G1121" s="433"/>
      <c r="H1121" s="433"/>
      <c r="I1121" s="433"/>
      <c r="J1121" s="433"/>
    </row>
    <row r="1122" spans="3:10" x14ac:dyDescent="0.25">
      <c r="C1122" s="433"/>
      <c r="D1122" s="433"/>
      <c r="E1122" s="433"/>
      <c r="F1122" s="433"/>
      <c r="G1122" s="433"/>
      <c r="H1122" s="433"/>
      <c r="I1122" s="433"/>
      <c r="J1122" s="433"/>
    </row>
    <row r="1123" spans="3:10" x14ac:dyDescent="0.25">
      <c r="C1123" s="433"/>
      <c r="D1123" s="433"/>
      <c r="E1123" s="433"/>
      <c r="F1123" s="433"/>
      <c r="G1123" s="433"/>
      <c r="H1123" s="433"/>
      <c r="I1123" s="433"/>
      <c r="J1123" s="433"/>
    </row>
    <row r="1124" spans="3:10" x14ac:dyDescent="0.25">
      <c r="C1124" s="433"/>
      <c r="D1124" s="433"/>
      <c r="E1124" s="433"/>
      <c r="F1124" s="433"/>
      <c r="G1124" s="433"/>
      <c r="H1124" s="433"/>
      <c r="I1124" s="433"/>
      <c r="J1124" s="433"/>
    </row>
    <row r="1125" spans="3:10" x14ac:dyDescent="0.25">
      <c r="C1125" s="433"/>
      <c r="D1125" s="433"/>
      <c r="E1125" s="433"/>
      <c r="F1125" s="433"/>
      <c r="G1125" s="433"/>
      <c r="H1125" s="433"/>
      <c r="I1125" s="433"/>
      <c r="J1125" s="433"/>
    </row>
    <row r="1126" spans="3:10" x14ac:dyDescent="0.25">
      <c r="C1126" s="433"/>
      <c r="D1126" s="433"/>
      <c r="E1126" s="433"/>
      <c r="F1126" s="433"/>
      <c r="G1126" s="433"/>
      <c r="H1126" s="433"/>
      <c r="I1126" s="433"/>
      <c r="J1126" s="433"/>
    </row>
    <row r="1127" spans="3:10" x14ac:dyDescent="0.25">
      <c r="C1127" s="433"/>
      <c r="D1127" s="433"/>
      <c r="E1127" s="433"/>
      <c r="F1127" s="433"/>
      <c r="G1127" s="433"/>
      <c r="H1127" s="433"/>
      <c r="I1127" s="433"/>
      <c r="J1127" s="433"/>
    </row>
    <row r="1128" spans="3:10" x14ac:dyDescent="0.25">
      <c r="C1128" s="433"/>
      <c r="D1128" s="433"/>
      <c r="E1128" s="433"/>
      <c r="F1128" s="433"/>
      <c r="G1128" s="433"/>
      <c r="H1128" s="433"/>
      <c r="I1128" s="433"/>
      <c r="J1128" s="433"/>
    </row>
    <row r="1129" spans="3:10" x14ac:dyDescent="0.25">
      <c r="C1129" s="433"/>
      <c r="D1129" s="433"/>
      <c r="E1129" s="433"/>
      <c r="F1129" s="433"/>
      <c r="G1129" s="433"/>
      <c r="H1129" s="433"/>
      <c r="I1129" s="433"/>
      <c r="J1129" s="433"/>
    </row>
    <row r="1130" spans="3:10" x14ac:dyDescent="0.25">
      <c r="C1130" s="433"/>
      <c r="D1130" s="433"/>
      <c r="E1130" s="433"/>
      <c r="F1130" s="433"/>
      <c r="G1130" s="433"/>
      <c r="H1130" s="433"/>
      <c r="I1130" s="433"/>
      <c r="J1130" s="433"/>
    </row>
    <row r="1131" spans="3:10" x14ac:dyDescent="0.25">
      <c r="C1131" s="433"/>
      <c r="D1131" s="433"/>
      <c r="E1131" s="433"/>
      <c r="F1131" s="433"/>
      <c r="G1131" s="433"/>
      <c r="H1131" s="433"/>
      <c r="I1131" s="433"/>
      <c r="J1131" s="433"/>
    </row>
    <row r="1132" spans="3:10" x14ac:dyDescent="0.25">
      <c r="C1132" s="433"/>
      <c r="D1132" s="433"/>
      <c r="E1132" s="433"/>
      <c r="F1132" s="433"/>
      <c r="G1132" s="433"/>
      <c r="H1132" s="433"/>
      <c r="I1132" s="433"/>
      <c r="J1132" s="433"/>
    </row>
    <row r="1133" spans="3:10" x14ac:dyDescent="0.25">
      <c r="C1133" s="433"/>
      <c r="D1133" s="433"/>
      <c r="E1133" s="433"/>
      <c r="F1133" s="433"/>
      <c r="G1133" s="433"/>
      <c r="H1133" s="433"/>
      <c r="I1133" s="433"/>
      <c r="J1133" s="433"/>
    </row>
    <row r="1134" spans="3:10" x14ac:dyDescent="0.25">
      <c r="C1134" s="433"/>
      <c r="D1134" s="433"/>
      <c r="E1134" s="433"/>
      <c r="F1134" s="433"/>
      <c r="G1134" s="433"/>
      <c r="H1134" s="433"/>
      <c r="I1134" s="433"/>
      <c r="J1134" s="433"/>
    </row>
    <row r="1135" spans="3:10" x14ac:dyDescent="0.25">
      <c r="C1135" s="433"/>
      <c r="D1135" s="433"/>
      <c r="E1135" s="433"/>
      <c r="F1135" s="433"/>
      <c r="G1135" s="433"/>
      <c r="H1135" s="433"/>
      <c r="I1135" s="433"/>
      <c r="J1135" s="433"/>
    </row>
    <row r="1136" spans="3:10" x14ac:dyDescent="0.25">
      <c r="C1136" s="433"/>
      <c r="D1136" s="433"/>
      <c r="E1136" s="433"/>
      <c r="F1136" s="433"/>
      <c r="G1136" s="433"/>
      <c r="H1136" s="433"/>
      <c r="I1136" s="433"/>
      <c r="J1136" s="433"/>
    </row>
    <row r="1137" spans="3:10" x14ac:dyDescent="0.25">
      <c r="C1137" s="433"/>
      <c r="D1137" s="433"/>
      <c r="E1137" s="433"/>
      <c r="F1137" s="433"/>
      <c r="G1137" s="433"/>
      <c r="H1137" s="433"/>
      <c r="I1137" s="433"/>
      <c r="J1137" s="433"/>
    </row>
    <row r="1138" spans="3:10" x14ac:dyDescent="0.25">
      <c r="C1138" s="433"/>
      <c r="D1138" s="433"/>
      <c r="E1138" s="433"/>
      <c r="F1138" s="433"/>
      <c r="G1138" s="433"/>
      <c r="H1138" s="433"/>
      <c r="I1138" s="433"/>
      <c r="J1138" s="433"/>
    </row>
    <row r="1139" spans="3:10" x14ac:dyDescent="0.25">
      <c r="C1139" s="433"/>
      <c r="D1139" s="433"/>
      <c r="E1139" s="433"/>
      <c r="F1139" s="433"/>
      <c r="G1139" s="433"/>
      <c r="H1139" s="433"/>
      <c r="I1139" s="433"/>
      <c r="J1139" s="433"/>
    </row>
    <row r="1140" spans="3:10" x14ac:dyDescent="0.25">
      <c r="C1140" s="433"/>
      <c r="D1140" s="433"/>
      <c r="E1140" s="433"/>
      <c r="F1140" s="433"/>
      <c r="G1140" s="433"/>
      <c r="H1140" s="433"/>
      <c r="I1140" s="433"/>
      <c r="J1140" s="433"/>
    </row>
    <row r="1141" spans="3:10" x14ac:dyDescent="0.25">
      <c r="C1141" s="433"/>
      <c r="D1141" s="433"/>
      <c r="E1141" s="433"/>
      <c r="F1141" s="433"/>
      <c r="G1141" s="433"/>
      <c r="H1141" s="433"/>
      <c r="I1141" s="433"/>
      <c r="J1141" s="433"/>
    </row>
    <row r="1142" spans="3:10" x14ac:dyDescent="0.25">
      <c r="C1142" s="433"/>
      <c r="D1142" s="433"/>
      <c r="E1142" s="433"/>
      <c r="F1142" s="433"/>
      <c r="G1142" s="433"/>
      <c r="H1142" s="433"/>
      <c r="I1142" s="433"/>
      <c r="J1142" s="433"/>
    </row>
    <row r="1143" spans="3:10" x14ac:dyDescent="0.25">
      <c r="C1143" s="433"/>
      <c r="D1143" s="433"/>
      <c r="E1143" s="433"/>
      <c r="F1143" s="433"/>
      <c r="G1143" s="433"/>
      <c r="H1143" s="433"/>
      <c r="I1143" s="433"/>
      <c r="J1143" s="433"/>
    </row>
    <row r="1144" spans="3:10" x14ac:dyDescent="0.25">
      <c r="C1144" s="433"/>
      <c r="D1144" s="433"/>
      <c r="E1144" s="433"/>
      <c r="F1144" s="433"/>
      <c r="G1144" s="433"/>
      <c r="H1144" s="433"/>
      <c r="I1144" s="433"/>
      <c r="J1144" s="433"/>
    </row>
    <row r="1145" spans="3:10" x14ac:dyDescent="0.25">
      <c r="C1145" s="433"/>
      <c r="D1145" s="433"/>
      <c r="E1145" s="433"/>
      <c r="F1145" s="433"/>
      <c r="G1145" s="433"/>
      <c r="H1145" s="433"/>
      <c r="I1145" s="433"/>
      <c r="J1145" s="433"/>
    </row>
    <row r="1146" spans="3:10" x14ac:dyDescent="0.25">
      <c r="C1146" s="433"/>
      <c r="D1146" s="433"/>
      <c r="E1146" s="433"/>
      <c r="F1146" s="433"/>
      <c r="G1146" s="433"/>
      <c r="H1146" s="433"/>
      <c r="I1146" s="433"/>
      <c r="J1146" s="433"/>
    </row>
    <row r="1147" spans="3:10" x14ac:dyDescent="0.25">
      <c r="C1147" s="433"/>
      <c r="D1147" s="433"/>
      <c r="E1147" s="433"/>
      <c r="F1147" s="433"/>
      <c r="G1147" s="433"/>
      <c r="H1147" s="433"/>
      <c r="I1147" s="433"/>
      <c r="J1147" s="433"/>
    </row>
    <row r="1148" spans="3:10" x14ac:dyDescent="0.25">
      <c r="C1148" s="433"/>
      <c r="D1148" s="433"/>
      <c r="E1148" s="433"/>
      <c r="F1148" s="433"/>
      <c r="G1148" s="433"/>
      <c r="H1148" s="433"/>
      <c r="I1148" s="433"/>
      <c r="J1148" s="433"/>
    </row>
    <row r="1149" spans="3:10" x14ac:dyDescent="0.25">
      <c r="C1149" s="433"/>
      <c r="D1149" s="433"/>
      <c r="E1149" s="433"/>
      <c r="F1149" s="433"/>
      <c r="G1149" s="433"/>
      <c r="H1149" s="433"/>
      <c r="I1149" s="433"/>
      <c r="J1149" s="433"/>
    </row>
    <row r="1150" spans="3:10" x14ac:dyDescent="0.25">
      <c r="C1150" s="433"/>
      <c r="D1150" s="433"/>
      <c r="E1150" s="433"/>
      <c r="F1150" s="433"/>
      <c r="G1150" s="433"/>
      <c r="H1150" s="433"/>
      <c r="I1150" s="433"/>
      <c r="J1150" s="433"/>
    </row>
    <row r="1151" spans="3:10" x14ac:dyDescent="0.25">
      <c r="C1151" s="433"/>
      <c r="D1151" s="433"/>
      <c r="E1151" s="433"/>
      <c r="F1151" s="433"/>
      <c r="G1151" s="433"/>
      <c r="H1151" s="433"/>
      <c r="I1151" s="433"/>
      <c r="J1151" s="433"/>
    </row>
    <row r="1152" spans="3:10" x14ac:dyDescent="0.25">
      <c r="C1152" s="433"/>
      <c r="D1152" s="433"/>
      <c r="E1152" s="433"/>
      <c r="F1152" s="433"/>
      <c r="G1152" s="433"/>
      <c r="H1152" s="433"/>
      <c r="I1152" s="433"/>
      <c r="J1152" s="433"/>
    </row>
    <row r="1153" spans="3:10" x14ac:dyDescent="0.25">
      <c r="C1153" s="433"/>
      <c r="D1153" s="433"/>
      <c r="E1153" s="433"/>
      <c r="F1153" s="433"/>
      <c r="G1153" s="433"/>
      <c r="H1153" s="433"/>
      <c r="I1153" s="433"/>
      <c r="J1153" s="433"/>
    </row>
    <row r="1154" spans="3:10" x14ac:dyDescent="0.25">
      <c r="C1154" s="433"/>
      <c r="D1154" s="433"/>
      <c r="E1154" s="433"/>
      <c r="F1154" s="433"/>
      <c r="G1154" s="433"/>
      <c r="H1154" s="433"/>
      <c r="I1154" s="433"/>
      <c r="J1154" s="433"/>
    </row>
    <row r="1155" spans="3:10" x14ac:dyDescent="0.25">
      <c r="C1155" s="433"/>
      <c r="D1155" s="433"/>
      <c r="E1155" s="433"/>
      <c r="F1155" s="433"/>
      <c r="G1155" s="433"/>
      <c r="H1155" s="433"/>
      <c r="I1155" s="433"/>
      <c r="J1155" s="433"/>
    </row>
    <row r="1156" spans="3:10" x14ac:dyDescent="0.25">
      <c r="C1156" s="433"/>
      <c r="D1156" s="433"/>
      <c r="E1156" s="433"/>
      <c r="F1156" s="433"/>
      <c r="G1156" s="433"/>
      <c r="H1156" s="433"/>
      <c r="I1156" s="433"/>
      <c r="J1156" s="433"/>
    </row>
    <row r="1157" spans="3:10" x14ac:dyDescent="0.25">
      <c r="C1157" s="433"/>
      <c r="D1157" s="433"/>
      <c r="E1157" s="433"/>
      <c r="F1157" s="433"/>
      <c r="G1157" s="433"/>
      <c r="H1157" s="433"/>
      <c r="I1157" s="433"/>
      <c r="J1157" s="433"/>
    </row>
    <row r="1158" spans="3:10" x14ac:dyDescent="0.25">
      <c r="C1158" s="433"/>
      <c r="D1158" s="433"/>
      <c r="E1158" s="433"/>
      <c r="F1158" s="433"/>
      <c r="G1158" s="433"/>
      <c r="H1158" s="433"/>
      <c r="I1158" s="433"/>
      <c r="J1158" s="433"/>
    </row>
    <row r="1159" spans="3:10" x14ac:dyDescent="0.25">
      <c r="C1159" s="433"/>
      <c r="D1159" s="433"/>
      <c r="E1159" s="433"/>
      <c r="F1159" s="433"/>
      <c r="G1159" s="433"/>
      <c r="H1159" s="433"/>
      <c r="I1159" s="433"/>
      <c r="J1159" s="433"/>
    </row>
    <row r="1160" spans="3:10" x14ac:dyDescent="0.25">
      <c r="C1160" s="433"/>
      <c r="D1160" s="433"/>
      <c r="E1160" s="433"/>
      <c r="F1160" s="433"/>
      <c r="G1160" s="433"/>
      <c r="H1160" s="433"/>
      <c r="I1160" s="433"/>
      <c r="J1160" s="433"/>
    </row>
    <row r="1161" spans="3:10" x14ac:dyDescent="0.25">
      <c r="C1161" s="433"/>
      <c r="D1161" s="433"/>
      <c r="E1161" s="433"/>
      <c r="F1161" s="433"/>
      <c r="G1161" s="433"/>
      <c r="H1161" s="433"/>
      <c r="I1161" s="433"/>
      <c r="J1161" s="433"/>
    </row>
    <row r="1162" spans="3:10" x14ac:dyDescent="0.25">
      <c r="C1162" s="433"/>
      <c r="D1162" s="433"/>
      <c r="E1162" s="433"/>
      <c r="F1162" s="433"/>
      <c r="G1162" s="433"/>
      <c r="H1162" s="433"/>
      <c r="I1162" s="433"/>
      <c r="J1162" s="433"/>
    </row>
    <row r="1163" spans="3:10" x14ac:dyDescent="0.25">
      <c r="C1163" s="433"/>
      <c r="D1163" s="433"/>
      <c r="E1163" s="433"/>
      <c r="F1163" s="433"/>
      <c r="G1163" s="433"/>
      <c r="H1163" s="433"/>
      <c r="I1163" s="433"/>
      <c r="J1163" s="433"/>
    </row>
    <row r="1164" spans="3:10" x14ac:dyDescent="0.25">
      <c r="C1164" s="433"/>
      <c r="D1164" s="433"/>
      <c r="E1164" s="433"/>
      <c r="F1164" s="433"/>
      <c r="G1164" s="433"/>
      <c r="H1164" s="433"/>
      <c r="I1164" s="433"/>
      <c r="J1164" s="433"/>
    </row>
    <row r="1165" spans="3:10" x14ac:dyDescent="0.25">
      <c r="C1165" s="433"/>
      <c r="D1165" s="433"/>
      <c r="E1165" s="433"/>
      <c r="F1165" s="433"/>
      <c r="G1165" s="433"/>
      <c r="H1165" s="433"/>
      <c r="I1165" s="433"/>
      <c r="J1165" s="433"/>
    </row>
    <row r="1166" spans="3:10" x14ac:dyDescent="0.25">
      <c r="C1166" s="433"/>
      <c r="D1166" s="433"/>
      <c r="E1166" s="433"/>
      <c r="F1166" s="433"/>
      <c r="G1166" s="433"/>
      <c r="H1166" s="433"/>
      <c r="I1166" s="433"/>
      <c r="J1166" s="433"/>
    </row>
    <row r="1167" spans="3:10" x14ac:dyDescent="0.25">
      <c r="C1167" s="433"/>
      <c r="D1167" s="433"/>
      <c r="E1167" s="433"/>
      <c r="F1167" s="433"/>
      <c r="G1167" s="433"/>
      <c r="H1167" s="433"/>
      <c r="I1167" s="433"/>
      <c r="J1167" s="433"/>
    </row>
    <row r="1168" spans="3:10" x14ac:dyDescent="0.25">
      <c r="C1168" s="433"/>
      <c r="D1168" s="433"/>
      <c r="E1168" s="433"/>
      <c r="F1168" s="433"/>
      <c r="G1168" s="433"/>
      <c r="H1168" s="433"/>
      <c r="I1168" s="433"/>
      <c r="J1168" s="433"/>
    </row>
    <row r="1169" spans="3:10" x14ac:dyDescent="0.25">
      <c r="C1169" s="433"/>
      <c r="D1169" s="433"/>
      <c r="E1169" s="433"/>
      <c r="F1169" s="433"/>
      <c r="G1169" s="433"/>
      <c r="H1169" s="433"/>
      <c r="I1169" s="433"/>
      <c r="J1169" s="433"/>
    </row>
    <row r="1170" spans="3:10" x14ac:dyDescent="0.25">
      <c r="C1170" s="433"/>
      <c r="D1170" s="433"/>
      <c r="E1170" s="433"/>
      <c r="F1170" s="433"/>
      <c r="G1170" s="433"/>
      <c r="H1170" s="433"/>
      <c r="I1170" s="433"/>
      <c r="J1170" s="433"/>
    </row>
    <row r="1171" spans="3:10" x14ac:dyDescent="0.25">
      <c r="C1171" s="433"/>
      <c r="D1171" s="433"/>
      <c r="E1171" s="433"/>
      <c r="F1171" s="433"/>
      <c r="G1171" s="433"/>
      <c r="H1171" s="433"/>
      <c r="I1171" s="433"/>
      <c r="J1171" s="433"/>
    </row>
    <row r="1172" spans="3:10" x14ac:dyDescent="0.25">
      <c r="C1172" s="433"/>
      <c r="D1172" s="433"/>
      <c r="E1172" s="433"/>
      <c r="F1172" s="433"/>
      <c r="G1172" s="433"/>
      <c r="H1172" s="433"/>
      <c r="I1172" s="433"/>
      <c r="J1172" s="433"/>
    </row>
    <row r="1173" spans="3:10" x14ac:dyDescent="0.25">
      <c r="C1173" s="433"/>
      <c r="D1173" s="433"/>
      <c r="E1173" s="433"/>
      <c r="F1173" s="433"/>
      <c r="G1173" s="433"/>
      <c r="H1173" s="433"/>
      <c r="I1173" s="433"/>
      <c r="J1173" s="433"/>
    </row>
    <row r="1174" spans="3:10" x14ac:dyDescent="0.25">
      <c r="C1174" s="433"/>
      <c r="D1174" s="433"/>
      <c r="E1174" s="433"/>
      <c r="F1174" s="433"/>
      <c r="G1174" s="433"/>
      <c r="H1174" s="433"/>
      <c r="I1174" s="433"/>
      <c r="J1174" s="433"/>
    </row>
    <row r="1175" spans="3:10" x14ac:dyDescent="0.25">
      <c r="C1175" s="433"/>
      <c r="D1175" s="433"/>
      <c r="E1175" s="433"/>
      <c r="F1175" s="433"/>
      <c r="G1175" s="433"/>
      <c r="H1175" s="433"/>
      <c r="I1175" s="433"/>
      <c r="J1175" s="433"/>
    </row>
    <row r="1176" spans="3:10" x14ac:dyDescent="0.25">
      <c r="C1176" s="433"/>
      <c r="D1176" s="433"/>
      <c r="E1176" s="433"/>
      <c r="F1176" s="433"/>
      <c r="G1176" s="433"/>
      <c r="H1176" s="433"/>
      <c r="I1176" s="433"/>
      <c r="J1176" s="433"/>
    </row>
    <row r="1177" spans="3:10" x14ac:dyDescent="0.25">
      <c r="C1177" s="433"/>
      <c r="D1177" s="433"/>
      <c r="E1177" s="433"/>
      <c r="F1177" s="433"/>
      <c r="G1177" s="433"/>
      <c r="H1177" s="433"/>
      <c r="I1177" s="433"/>
      <c r="J1177" s="433"/>
    </row>
    <row r="1178" spans="3:10" x14ac:dyDescent="0.25">
      <c r="C1178" s="433"/>
      <c r="D1178" s="433"/>
      <c r="E1178" s="433"/>
      <c r="F1178" s="433"/>
      <c r="G1178" s="433"/>
      <c r="H1178" s="433"/>
      <c r="I1178" s="433"/>
      <c r="J1178" s="433"/>
    </row>
    <row r="1179" spans="3:10" x14ac:dyDescent="0.25">
      <c r="C1179" s="433"/>
      <c r="D1179" s="433"/>
      <c r="E1179" s="433"/>
      <c r="F1179" s="433"/>
      <c r="G1179" s="433"/>
      <c r="H1179" s="433"/>
      <c r="I1179" s="433"/>
      <c r="J1179" s="433"/>
    </row>
    <row r="1180" spans="3:10" x14ac:dyDescent="0.25">
      <c r="C1180" s="433"/>
      <c r="D1180" s="433"/>
      <c r="E1180" s="433"/>
      <c r="F1180" s="433"/>
      <c r="G1180" s="433"/>
      <c r="H1180" s="433"/>
      <c r="I1180" s="433"/>
      <c r="J1180" s="433"/>
    </row>
    <row r="1181" spans="3:10" x14ac:dyDescent="0.25">
      <c r="C1181" s="433"/>
      <c r="D1181" s="433"/>
      <c r="E1181" s="433"/>
      <c r="F1181" s="433"/>
      <c r="G1181" s="433"/>
      <c r="H1181" s="433"/>
      <c r="I1181" s="433"/>
      <c r="J1181" s="433"/>
    </row>
    <row r="1182" spans="3:10" x14ac:dyDescent="0.25">
      <c r="C1182" s="433"/>
      <c r="D1182" s="433"/>
      <c r="E1182" s="433"/>
      <c r="F1182" s="433"/>
      <c r="G1182" s="433"/>
      <c r="H1182" s="433"/>
      <c r="I1182" s="433"/>
      <c r="J1182" s="433"/>
    </row>
    <row r="1183" spans="3:10" x14ac:dyDescent="0.25">
      <c r="C1183" s="433"/>
      <c r="D1183" s="433"/>
      <c r="E1183" s="433"/>
      <c r="F1183" s="433"/>
      <c r="G1183" s="433"/>
      <c r="H1183" s="433"/>
      <c r="I1183" s="433"/>
      <c r="J1183" s="433"/>
    </row>
    <row r="1184" spans="3:10" x14ac:dyDescent="0.25">
      <c r="C1184" s="433"/>
      <c r="D1184" s="433"/>
      <c r="E1184" s="433"/>
      <c r="F1184" s="433"/>
      <c r="G1184" s="433"/>
      <c r="H1184" s="433"/>
      <c r="I1184" s="433"/>
      <c r="J1184" s="433"/>
    </row>
    <row r="1185" spans="3:10" x14ac:dyDescent="0.25">
      <c r="C1185" s="433"/>
      <c r="D1185" s="433"/>
      <c r="E1185" s="433"/>
      <c r="F1185" s="433"/>
      <c r="G1185" s="433"/>
      <c r="H1185" s="433"/>
      <c r="I1185" s="433"/>
      <c r="J1185" s="433"/>
    </row>
    <row r="1186" spans="3:10" x14ac:dyDescent="0.25">
      <c r="C1186" s="433"/>
      <c r="D1186" s="433"/>
      <c r="E1186" s="433"/>
      <c r="F1186" s="433"/>
      <c r="G1186" s="433"/>
      <c r="H1186" s="433"/>
      <c r="I1186" s="433"/>
      <c r="J1186" s="433"/>
    </row>
    <row r="1187" spans="3:10" x14ac:dyDescent="0.25">
      <c r="C1187" s="433"/>
      <c r="D1187" s="433"/>
      <c r="E1187" s="433"/>
      <c r="F1187" s="433"/>
      <c r="G1187" s="433"/>
      <c r="H1187" s="433"/>
      <c r="I1187" s="433"/>
      <c r="J1187" s="433"/>
    </row>
    <row r="1188" spans="3:10" x14ac:dyDescent="0.25">
      <c r="C1188" s="433"/>
      <c r="D1188" s="433"/>
      <c r="E1188" s="433"/>
      <c r="F1188" s="433"/>
      <c r="G1188" s="433"/>
      <c r="H1188" s="433"/>
      <c r="I1188" s="433"/>
      <c r="J1188" s="433"/>
    </row>
    <row r="1189" spans="3:10" x14ac:dyDescent="0.25">
      <c r="C1189" s="433"/>
      <c r="D1189" s="433"/>
      <c r="E1189" s="433"/>
      <c r="F1189" s="433"/>
      <c r="G1189" s="433"/>
      <c r="H1189" s="433"/>
      <c r="I1189" s="433"/>
      <c r="J1189" s="433"/>
    </row>
    <row r="1190" spans="3:10" x14ac:dyDescent="0.25">
      <c r="C1190" s="433"/>
      <c r="D1190" s="433"/>
      <c r="E1190" s="433"/>
      <c r="F1190" s="433"/>
      <c r="G1190" s="433"/>
      <c r="H1190" s="433"/>
      <c r="I1190" s="433"/>
      <c r="J1190" s="433"/>
    </row>
    <row r="1191" spans="3:10" x14ac:dyDescent="0.25">
      <c r="C1191" s="433"/>
      <c r="D1191" s="433"/>
      <c r="E1191" s="433"/>
      <c r="F1191" s="433"/>
      <c r="G1191" s="433"/>
      <c r="H1191" s="433"/>
      <c r="I1191" s="433"/>
      <c r="J1191" s="433"/>
    </row>
    <row r="1192" spans="3:10" x14ac:dyDescent="0.25">
      <c r="C1192" s="433"/>
      <c r="D1192" s="433"/>
      <c r="E1192" s="433"/>
      <c r="F1192" s="433"/>
      <c r="G1192" s="433"/>
      <c r="H1192" s="433"/>
      <c r="I1192" s="433"/>
      <c r="J1192" s="433"/>
    </row>
    <row r="1193" spans="3:10" x14ac:dyDescent="0.25">
      <c r="C1193" s="433"/>
      <c r="D1193" s="433"/>
      <c r="E1193" s="433"/>
      <c r="F1193" s="433"/>
      <c r="G1193" s="433"/>
      <c r="H1193" s="433"/>
      <c r="I1193" s="433"/>
      <c r="J1193" s="433"/>
    </row>
    <row r="1194" spans="3:10" x14ac:dyDescent="0.25">
      <c r="C1194" s="433"/>
      <c r="D1194" s="433"/>
      <c r="E1194" s="433"/>
      <c r="F1194" s="433"/>
      <c r="G1194" s="433"/>
      <c r="H1194" s="433"/>
      <c r="I1194" s="433"/>
      <c r="J1194" s="433"/>
    </row>
    <row r="1195" spans="3:10" x14ac:dyDescent="0.25">
      <c r="C1195" s="433"/>
      <c r="D1195" s="433"/>
      <c r="E1195" s="433"/>
      <c r="F1195" s="433"/>
      <c r="G1195" s="433"/>
      <c r="H1195" s="433"/>
      <c r="I1195" s="433"/>
      <c r="J1195" s="433"/>
    </row>
    <row r="1196" spans="3:10" x14ac:dyDescent="0.25">
      <c r="C1196" s="433"/>
      <c r="D1196" s="433"/>
      <c r="E1196" s="433"/>
      <c r="F1196" s="433"/>
      <c r="G1196" s="433"/>
      <c r="H1196" s="433"/>
      <c r="I1196" s="433"/>
      <c r="J1196" s="433"/>
    </row>
    <row r="1197" spans="3:10" x14ac:dyDescent="0.25">
      <c r="C1197" s="433"/>
      <c r="D1197" s="433"/>
      <c r="E1197" s="433"/>
      <c r="F1197" s="433"/>
      <c r="G1197" s="433"/>
      <c r="H1197" s="433"/>
      <c r="I1197" s="433"/>
      <c r="J1197" s="433"/>
    </row>
    <row r="1198" spans="3:10" x14ac:dyDescent="0.25">
      <c r="C1198" s="433"/>
      <c r="D1198" s="433"/>
      <c r="E1198" s="433"/>
      <c r="F1198" s="433"/>
      <c r="G1198" s="433"/>
      <c r="H1198" s="433"/>
      <c r="I1198" s="433"/>
      <c r="J1198" s="433"/>
    </row>
    <row r="1199" spans="3:10" x14ac:dyDescent="0.25">
      <c r="C1199" s="433"/>
      <c r="D1199" s="433"/>
      <c r="E1199" s="433"/>
      <c r="F1199" s="433"/>
      <c r="G1199" s="433"/>
      <c r="H1199" s="433"/>
      <c r="I1199" s="433"/>
      <c r="J1199" s="433"/>
    </row>
    <row r="1200" spans="3:10" x14ac:dyDescent="0.25">
      <c r="C1200" s="433"/>
      <c r="D1200" s="433"/>
      <c r="E1200" s="433"/>
      <c r="F1200" s="433"/>
      <c r="G1200" s="433"/>
      <c r="H1200" s="433"/>
      <c r="I1200" s="433"/>
      <c r="J1200" s="433"/>
    </row>
    <row r="1201" spans="3:10" x14ac:dyDescent="0.25">
      <c r="C1201" s="433"/>
      <c r="D1201" s="433"/>
      <c r="E1201" s="433"/>
      <c r="F1201" s="433"/>
      <c r="G1201" s="433"/>
      <c r="H1201" s="433"/>
      <c r="I1201" s="433"/>
      <c r="J1201" s="433"/>
    </row>
    <row r="1202" spans="3:10" x14ac:dyDescent="0.25">
      <c r="C1202" s="433"/>
      <c r="D1202" s="433"/>
      <c r="E1202" s="433"/>
      <c r="F1202" s="433"/>
      <c r="G1202" s="433"/>
      <c r="H1202" s="433"/>
      <c r="I1202" s="433"/>
      <c r="J1202" s="433"/>
    </row>
    <row r="1203" spans="3:10" x14ac:dyDescent="0.25">
      <c r="C1203" s="433"/>
      <c r="D1203" s="433"/>
      <c r="E1203" s="433"/>
      <c r="F1203" s="433"/>
      <c r="G1203" s="433"/>
      <c r="H1203" s="433"/>
      <c r="I1203" s="433"/>
      <c r="J1203" s="433"/>
    </row>
    <row r="1204" spans="3:10" x14ac:dyDescent="0.25">
      <c r="C1204" s="433"/>
      <c r="D1204" s="433"/>
      <c r="E1204" s="433"/>
      <c r="F1204" s="433"/>
      <c r="G1204" s="433"/>
      <c r="H1204" s="433"/>
      <c r="I1204" s="433"/>
      <c r="J1204" s="433"/>
    </row>
    <row r="1205" spans="3:10" x14ac:dyDescent="0.25">
      <c r="C1205" s="433"/>
      <c r="D1205" s="433"/>
      <c r="E1205" s="433"/>
      <c r="F1205" s="433"/>
      <c r="G1205" s="433"/>
      <c r="H1205" s="433"/>
      <c r="I1205" s="433"/>
      <c r="J1205" s="433"/>
    </row>
    <row r="1206" spans="3:10" x14ac:dyDescent="0.25">
      <c r="C1206" s="433"/>
      <c r="D1206" s="433"/>
      <c r="E1206" s="433"/>
      <c r="F1206" s="433"/>
      <c r="G1206" s="433"/>
      <c r="H1206" s="433"/>
      <c r="I1206" s="433"/>
      <c r="J1206" s="433"/>
    </row>
    <row r="1207" spans="3:10" x14ac:dyDescent="0.25">
      <c r="C1207" s="433"/>
      <c r="D1207" s="433"/>
      <c r="E1207" s="433"/>
      <c r="F1207" s="433"/>
      <c r="G1207" s="433"/>
      <c r="H1207" s="433"/>
      <c r="I1207" s="433"/>
      <c r="J1207" s="433"/>
    </row>
    <row r="1208" spans="3:10" x14ac:dyDescent="0.25">
      <c r="C1208" s="433"/>
      <c r="D1208" s="433"/>
      <c r="E1208" s="433"/>
      <c r="F1208" s="433"/>
      <c r="G1208" s="433"/>
      <c r="H1208" s="433"/>
      <c r="I1208" s="433"/>
      <c r="J1208" s="433"/>
    </row>
    <row r="1209" spans="3:10" x14ac:dyDescent="0.25">
      <c r="C1209" s="433"/>
      <c r="D1209" s="433"/>
      <c r="E1209" s="433"/>
      <c r="F1209" s="433"/>
      <c r="G1209" s="433"/>
      <c r="H1209" s="433"/>
      <c r="I1209" s="433"/>
      <c r="J1209" s="433"/>
    </row>
    <row r="1210" spans="3:10" x14ac:dyDescent="0.25">
      <c r="C1210" s="433"/>
      <c r="D1210" s="433"/>
      <c r="E1210" s="433"/>
      <c r="F1210" s="433"/>
      <c r="G1210" s="433"/>
      <c r="H1210" s="433"/>
      <c r="I1210" s="433"/>
      <c r="J1210" s="433"/>
    </row>
    <row r="1211" spans="3:10" x14ac:dyDescent="0.25">
      <c r="C1211" s="433"/>
      <c r="D1211" s="433"/>
      <c r="E1211" s="433"/>
      <c r="F1211" s="433"/>
      <c r="G1211" s="433"/>
      <c r="H1211" s="433"/>
      <c r="I1211" s="433"/>
      <c r="J1211" s="433"/>
    </row>
    <row r="1212" spans="3:10" x14ac:dyDescent="0.25">
      <c r="C1212" s="433"/>
      <c r="D1212" s="433"/>
      <c r="E1212" s="433"/>
      <c r="F1212" s="433"/>
      <c r="G1212" s="433"/>
      <c r="H1212" s="433"/>
      <c r="I1212" s="433"/>
      <c r="J1212" s="433"/>
    </row>
    <row r="1213" spans="3:10" x14ac:dyDescent="0.25">
      <c r="C1213" s="433"/>
      <c r="D1213" s="433"/>
      <c r="E1213" s="433"/>
      <c r="F1213" s="433"/>
      <c r="G1213" s="433"/>
      <c r="H1213" s="433"/>
      <c r="I1213" s="433"/>
      <c r="J1213" s="433"/>
    </row>
    <row r="1214" spans="3:10" x14ac:dyDescent="0.25">
      <c r="C1214" s="433"/>
      <c r="D1214" s="433"/>
      <c r="E1214" s="433"/>
      <c r="F1214" s="433"/>
      <c r="G1214" s="433"/>
      <c r="H1214" s="433"/>
      <c r="I1214" s="433"/>
      <c r="J1214" s="433"/>
    </row>
    <row r="1215" spans="3:10" x14ac:dyDescent="0.25">
      <c r="C1215" s="433"/>
      <c r="D1215" s="433"/>
      <c r="E1215" s="433"/>
      <c r="F1215" s="433"/>
      <c r="G1215" s="433"/>
      <c r="H1215" s="433"/>
      <c r="I1215" s="433"/>
      <c r="J1215" s="433"/>
    </row>
    <row r="1216" spans="3:10" x14ac:dyDescent="0.25">
      <c r="C1216" s="433"/>
      <c r="D1216" s="433"/>
      <c r="E1216" s="433"/>
      <c r="F1216" s="433"/>
      <c r="G1216" s="433"/>
      <c r="H1216" s="433"/>
      <c r="I1216" s="433"/>
      <c r="J1216" s="433"/>
    </row>
    <row r="1217" spans="3:10" x14ac:dyDescent="0.25">
      <c r="C1217" s="433"/>
      <c r="D1217" s="433"/>
      <c r="E1217" s="433"/>
      <c r="F1217" s="433"/>
      <c r="G1217" s="433"/>
      <c r="H1217" s="433"/>
      <c r="I1217" s="433"/>
      <c r="J1217" s="433"/>
    </row>
    <row r="1218" spans="3:10" x14ac:dyDescent="0.25">
      <c r="C1218" s="433"/>
      <c r="D1218" s="433"/>
      <c r="E1218" s="433"/>
      <c r="F1218" s="433"/>
      <c r="G1218" s="433"/>
      <c r="H1218" s="433"/>
      <c r="I1218" s="433"/>
      <c r="J1218" s="433"/>
    </row>
    <row r="1219" spans="3:10" x14ac:dyDescent="0.25">
      <c r="C1219" s="433"/>
      <c r="D1219" s="433"/>
      <c r="E1219" s="433"/>
      <c r="F1219" s="433"/>
      <c r="G1219" s="433"/>
      <c r="H1219" s="433"/>
      <c r="I1219" s="433"/>
      <c r="J1219" s="433"/>
    </row>
    <row r="1220" spans="3:10" x14ac:dyDescent="0.25">
      <c r="C1220" s="433"/>
      <c r="D1220" s="433"/>
      <c r="E1220" s="433"/>
      <c r="F1220" s="433"/>
      <c r="G1220" s="433"/>
      <c r="H1220" s="433"/>
      <c r="I1220" s="433"/>
      <c r="J1220" s="433"/>
    </row>
    <row r="1221" spans="3:10" x14ac:dyDescent="0.25">
      <c r="C1221" s="433"/>
      <c r="D1221" s="433"/>
      <c r="E1221" s="433"/>
      <c r="F1221" s="433"/>
      <c r="G1221" s="433"/>
      <c r="H1221" s="433"/>
      <c r="I1221" s="433"/>
      <c r="J1221" s="433"/>
    </row>
    <row r="1222" spans="3:10" x14ac:dyDescent="0.25">
      <c r="C1222" s="433"/>
      <c r="D1222" s="433"/>
      <c r="E1222" s="433"/>
      <c r="F1222" s="433"/>
      <c r="G1222" s="433"/>
      <c r="H1222" s="433"/>
      <c r="I1222" s="433"/>
      <c r="J1222" s="433"/>
    </row>
    <row r="1223" spans="3:10" x14ac:dyDescent="0.25">
      <c r="C1223" s="433"/>
      <c r="D1223" s="433"/>
      <c r="E1223" s="433"/>
      <c r="F1223" s="433"/>
      <c r="G1223" s="433"/>
      <c r="H1223" s="433"/>
      <c r="I1223" s="433"/>
      <c r="J1223" s="433"/>
    </row>
    <row r="1224" spans="3:10" x14ac:dyDescent="0.25">
      <c r="C1224" s="433"/>
      <c r="D1224" s="433"/>
      <c r="E1224" s="433"/>
      <c r="F1224" s="433"/>
      <c r="G1224" s="433"/>
      <c r="H1224" s="433"/>
      <c r="I1224" s="433"/>
      <c r="J1224" s="433"/>
    </row>
    <row r="1225" spans="3:10" x14ac:dyDescent="0.25">
      <c r="C1225" s="433"/>
      <c r="D1225" s="433"/>
      <c r="E1225" s="433"/>
      <c r="F1225" s="433"/>
      <c r="G1225" s="433"/>
      <c r="H1225" s="433"/>
      <c r="I1225" s="433"/>
      <c r="J1225" s="433"/>
    </row>
    <row r="1226" spans="3:10" x14ac:dyDescent="0.25">
      <c r="C1226" s="433"/>
      <c r="D1226" s="433"/>
      <c r="E1226" s="433"/>
      <c r="F1226" s="433"/>
      <c r="G1226" s="433"/>
      <c r="H1226" s="433"/>
      <c r="I1226" s="433"/>
      <c r="J1226" s="433"/>
    </row>
    <row r="1227" spans="3:10" x14ac:dyDescent="0.25">
      <c r="C1227" s="433"/>
      <c r="D1227" s="433"/>
      <c r="E1227" s="433"/>
      <c r="F1227" s="433"/>
      <c r="G1227" s="433"/>
      <c r="H1227" s="433"/>
      <c r="I1227" s="433"/>
      <c r="J1227" s="433"/>
    </row>
    <row r="1228" spans="3:10" x14ac:dyDescent="0.25">
      <c r="C1228" s="433"/>
      <c r="D1228" s="433"/>
      <c r="E1228" s="433"/>
      <c r="F1228" s="433"/>
      <c r="G1228" s="433"/>
      <c r="H1228" s="433"/>
      <c r="I1228" s="433"/>
      <c r="J1228" s="433"/>
    </row>
    <row r="1229" spans="3:10" x14ac:dyDescent="0.25">
      <c r="C1229" s="433"/>
      <c r="D1229" s="433"/>
      <c r="E1229" s="433"/>
      <c r="F1229" s="433"/>
      <c r="G1229" s="433"/>
      <c r="H1229" s="433"/>
      <c r="I1229" s="433"/>
      <c r="J1229" s="433"/>
    </row>
    <row r="1230" spans="3:10" x14ac:dyDescent="0.25">
      <c r="C1230" s="433"/>
      <c r="D1230" s="433"/>
      <c r="E1230" s="433"/>
      <c r="F1230" s="433"/>
      <c r="G1230" s="433"/>
      <c r="H1230" s="433"/>
      <c r="I1230" s="433"/>
      <c r="J1230" s="433"/>
    </row>
    <row r="1231" spans="3:10" x14ac:dyDescent="0.25">
      <c r="C1231" s="433"/>
      <c r="D1231" s="433"/>
      <c r="E1231" s="433"/>
      <c r="F1231" s="433"/>
      <c r="G1231" s="433"/>
      <c r="H1231" s="433"/>
      <c r="I1231" s="433"/>
      <c r="J1231" s="433"/>
    </row>
    <row r="1232" spans="3:10" x14ac:dyDescent="0.25">
      <c r="C1232" s="433"/>
      <c r="D1232" s="433"/>
      <c r="E1232" s="433"/>
      <c r="F1232" s="433"/>
      <c r="G1232" s="433"/>
      <c r="H1232" s="433"/>
      <c r="I1232" s="433"/>
      <c r="J1232" s="433"/>
    </row>
    <row r="1233" spans="3:10" x14ac:dyDescent="0.25">
      <c r="C1233" s="433"/>
      <c r="D1233" s="433"/>
      <c r="E1233" s="433"/>
      <c r="F1233" s="433"/>
      <c r="G1233" s="433"/>
      <c r="H1233" s="433"/>
      <c r="I1233" s="433"/>
      <c r="J1233" s="433"/>
    </row>
    <row r="1234" spans="3:10" x14ac:dyDescent="0.25">
      <c r="C1234" s="433"/>
      <c r="D1234" s="433"/>
      <c r="E1234" s="433"/>
      <c r="F1234" s="433"/>
      <c r="G1234" s="433"/>
      <c r="H1234" s="433"/>
      <c r="I1234" s="433"/>
      <c r="J1234" s="433"/>
    </row>
    <row r="1235" spans="3:10" x14ac:dyDescent="0.25">
      <c r="C1235" s="433"/>
      <c r="D1235" s="433"/>
      <c r="E1235" s="433"/>
      <c r="F1235" s="433"/>
      <c r="G1235" s="433"/>
      <c r="H1235" s="433"/>
      <c r="I1235" s="433"/>
      <c r="J1235" s="433"/>
    </row>
    <row r="1236" spans="3:10" x14ac:dyDescent="0.25">
      <c r="C1236" s="433"/>
      <c r="D1236" s="433"/>
      <c r="E1236" s="433"/>
      <c r="F1236" s="433"/>
      <c r="G1236" s="433"/>
      <c r="H1236" s="433"/>
      <c r="I1236" s="433"/>
      <c r="J1236" s="433"/>
    </row>
    <row r="1237" spans="3:10" x14ac:dyDescent="0.25">
      <c r="C1237" s="433"/>
      <c r="D1237" s="433"/>
      <c r="E1237" s="433"/>
      <c r="F1237" s="433"/>
      <c r="G1237" s="433"/>
      <c r="H1237" s="433"/>
      <c r="I1237" s="433"/>
      <c r="J1237" s="433"/>
    </row>
    <row r="1238" spans="3:10" x14ac:dyDescent="0.25">
      <c r="C1238" s="433"/>
      <c r="D1238" s="433"/>
      <c r="E1238" s="433"/>
      <c r="F1238" s="433"/>
      <c r="G1238" s="433"/>
      <c r="H1238" s="433"/>
      <c r="I1238" s="433"/>
      <c r="J1238" s="433"/>
    </row>
    <row r="1239" spans="3:10" x14ac:dyDescent="0.25">
      <c r="C1239" s="433"/>
      <c r="D1239" s="433"/>
      <c r="E1239" s="433"/>
      <c r="F1239" s="433"/>
      <c r="G1239" s="433"/>
      <c r="H1239" s="433"/>
      <c r="I1239" s="433"/>
      <c r="J1239" s="433"/>
    </row>
    <row r="1240" spans="3:10" x14ac:dyDescent="0.25">
      <c r="C1240" s="433"/>
      <c r="D1240" s="433"/>
      <c r="E1240" s="433"/>
      <c r="F1240" s="433"/>
      <c r="G1240" s="433"/>
      <c r="H1240" s="433"/>
      <c r="I1240" s="433"/>
      <c r="J1240" s="433"/>
    </row>
    <row r="1241" spans="3:10" x14ac:dyDescent="0.25">
      <c r="C1241" s="433"/>
      <c r="D1241" s="433"/>
      <c r="E1241" s="433"/>
      <c r="F1241" s="433"/>
      <c r="G1241" s="433"/>
      <c r="H1241" s="433"/>
      <c r="I1241" s="433"/>
      <c r="J1241" s="433"/>
    </row>
    <row r="1242" spans="3:10" x14ac:dyDescent="0.25">
      <c r="C1242" s="433"/>
      <c r="D1242" s="433"/>
      <c r="E1242" s="433"/>
      <c r="F1242" s="433"/>
      <c r="G1242" s="433"/>
      <c r="H1242" s="433"/>
      <c r="I1242" s="433"/>
      <c r="J1242" s="433"/>
    </row>
    <row r="1243" spans="3:10" x14ac:dyDescent="0.25">
      <c r="C1243" s="433"/>
      <c r="D1243" s="433"/>
      <c r="E1243" s="433"/>
      <c r="F1243" s="433"/>
      <c r="G1243" s="433"/>
      <c r="H1243" s="433"/>
      <c r="I1243" s="433"/>
      <c r="J1243" s="433"/>
    </row>
    <row r="1244" spans="3:10" x14ac:dyDescent="0.25">
      <c r="C1244" s="433"/>
      <c r="D1244" s="433"/>
      <c r="E1244" s="433"/>
      <c r="F1244" s="433"/>
      <c r="G1244" s="433"/>
      <c r="H1244" s="433"/>
      <c r="I1244" s="433"/>
      <c r="J1244" s="433"/>
    </row>
    <row r="1245" spans="3:10" x14ac:dyDescent="0.25">
      <c r="C1245" s="433"/>
      <c r="D1245" s="433"/>
      <c r="E1245" s="433"/>
      <c r="F1245" s="433"/>
      <c r="G1245" s="433"/>
      <c r="H1245" s="433"/>
      <c r="I1245" s="433"/>
      <c r="J1245" s="433"/>
    </row>
    <row r="1246" spans="3:10" x14ac:dyDescent="0.25">
      <c r="C1246" s="433"/>
      <c r="D1246" s="433"/>
      <c r="E1246" s="433"/>
      <c r="F1246" s="433"/>
      <c r="G1246" s="433"/>
      <c r="H1246" s="433"/>
      <c r="I1246" s="433"/>
      <c r="J1246" s="433"/>
    </row>
    <row r="1247" spans="3:10" x14ac:dyDescent="0.25">
      <c r="C1247" s="433"/>
      <c r="D1247" s="433"/>
      <c r="E1247" s="433"/>
      <c r="F1247" s="433"/>
      <c r="G1247" s="433"/>
      <c r="H1247" s="433"/>
      <c r="I1247" s="433"/>
      <c r="J1247" s="433"/>
    </row>
    <row r="1248" spans="3:10" x14ac:dyDescent="0.25">
      <c r="C1248" s="433"/>
      <c r="D1248" s="433"/>
      <c r="E1248" s="433"/>
      <c r="F1248" s="433"/>
      <c r="G1248" s="433"/>
      <c r="H1248" s="433"/>
      <c r="I1248" s="433"/>
      <c r="J1248" s="433"/>
    </row>
    <row r="1249" spans="3:10" x14ac:dyDescent="0.25">
      <c r="C1249" s="433"/>
      <c r="D1249" s="433"/>
      <c r="E1249" s="433"/>
      <c r="F1249" s="433"/>
      <c r="G1249" s="433"/>
      <c r="H1249" s="433"/>
      <c r="I1249" s="433"/>
      <c r="J1249" s="433"/>
    </row>
    <row r="1250" spans="3:10" x14ac:dyDescent="0.25">
      <c r="C1250" s="433"/>
      <c r="D1250" s="433"/>
      <c r="E1250" s="433"/>
      <c r="F1250" s="433"/>
      <c r="G1250" s="433"/>
      <c r="H1250" s="433"/>
      <c r="I1250" s="433"/>
      <c r="J1250" s="433"/>
    </row>
    <row r="1251" spans="3:10" x14ac:dyDescent="0.25">
      <c r="C1251" s="433"/>
      <c r="D1251" s="433"/>
      <c r="E1251" s="433"/>
      <c r="F1251" s="433"/>
      <c r="G1251" s="433"/>
      <c r="H1251" s="433"/>
      <c r="I1251" s="433"/>
      <c r="J1251" s="433"/>
    </row>
    <row r="1252" spans="3:10" x14ac:dyDescent="0.25">
      <c r="C1252" s="433"/>
      <c r="D1252" s="433"/>
      <c r="E1252" s="433"/>
      <c r="F1252" s="433"/>
      <c r="G1252" s="433"/>
      <c r="H1252" s="433"/>
      <c r="I1252" s="433"/>
      <c r="J1252" s="433"/>
    </row>
    <row r="1253" spans="3:10" x14ac:dyDescent="0.25">
      <c r="C1253" s="433"/>
      <c r="D1253" s="433"/>
      <c r="E1253" s="433"/>
      <c r="F1253" s="433"/>
      <c r="G1253" s="433"/>
      <c r="H1253" s="433"/>
      <c r="I1253" s="433"/>
      <c r="J1253" s="433"/>
    </row>
    <row r="1254" spans="3:10" x14ac:dyDescent="0.25">
      <c r="C1254" s="433"/>
      <c r="D1254" s="433"/>
      <c r="E1254" s="433"/>
      <c r="F1254" s="433"/>
      <c r="G1254" s="433"/>
      <c r="H1254" s="433"/>
      <c r="I1254" s="433"/>
      <c r="J1254" s="433"/>
    </row>
    <row r="1255" spans="3:10" x14ac:dyDescent="0.25">
      <c r="C1255" s="433"/>
      <c r="D1255" s="433"/>
      <c r="E1255" s="433"/>
      <c r="F1255" s="433"/>
      <c r="G1255" s="433"/>
      <c r="H1255" s="433"/>
      <c r="I1255" s="433"/>
      <c r="J1255" s="433"/>
    </row>
    <row r="1256" spans="3:10" x14ac:dyDescent="0.25">
      <c r="C1256" s="433"/>
      <c r="D1256" s="433"/>
      <c r="E1256" s="433"/>
      <c r="F1256" s="433"/>
      <c r="G1256" s="433"/>
      <c r="H1256" s="433"/>
      <c r="I1256" s="433"/>
      <c r="J1256" s="433"/>
    </row>
    <row r="1257" spans="3:10" x14ac:dyDescent="0.25">
      <c r="C1257" s="433"/>
      <c r="D1257" s="433"/>
      <c r="E1257" s="433"/>
      <c r="F1257" s="433"/>
      <c r="G1257" s="433"/>
      <c r="H1257" s="433"/>
      <c r="I1257" s="433"/>
      <c r="J1257" s="433"/>
    </row>
    <row r="1258" spans="3:10" x14ac:dyDescent="0.25">
      <c r="C1258" s="433"/>
      <c r="D1258" s="433"/>
      <c r="E1258" s="433"/>
      <c r="F1258" s="433"/>
      <c r="G1258" s="433"/>
      <c r="H1258" s="433"/>
      <c r="I1258" s="433"/>
      <c r="J1258" s="433"/>
    </row>
    <row r="1259" spans="3:10" x14ac:dyDescent="0.25">
      <c r="C1259" s="433"/>
      <c r="D1259" s="433"/>
      <c r="E1259" s="433"/>
      <c r="F1259" s="433"/>
      <c r="G1259" s="433"/>
      <c r="H1259" s="433"/>
      <c r="I1259" s="433"/>
      <c r="J1259" s="433"/>
    </row>
    <row r="1260" spans="3:10" x14ac:dyDescent="0.25">
      <c r="C1260" s="433"/>
      <c r="D1260" s="433"/>
      <c r="E1260" s="433"/>
      <c r="F1260" s="433"/>
      <c r="G1260" s="433"/>
      <c r="H1260" s="433"/>
      <c r="I1260" s="433"/>
      <c r="J1260" s="433"/>
    </row>
    <row r="1261" spans="3:10" x14ac:dyDescent="0.25">
      <c r="C1261" s="433"/>
      <c r="D1261" s="433"/>
      <c r="E1261" s="433"/>
      <c r="F1261" s="433"/>
      <c r="G1261" s="433"/>
      <c r="H1261" s="433"/>
      <c r="I1261" s="433"/>
      <c r="J1261" s="433"/>
    </row>
    <row r="1262" spans="3:10" x14ac:dyDescent="0.25">
      <c r="C1262" s="433"/>
      <c r="D1262" s="433"/>
      <c r="E1262" s="433"/>
      <c r="F1262" s="433"/>
      <c r="G1262" s="433"/>
      <c r="H1262" s="433"/>
      <c r="I1262" s="433"/>
      <c r="J1262" s="433"/>
    </row>
    <row r="1263" spans="3:10" x14ac:dyDescent="0.25">
      <c r="C1263" s="433"/>
      <c r="D1263" s="433"/>
      <c r="E1263" s="433"/>
      <c r="F1263" s="433"/>
      <c r="G1263" s="433"/>
      <c r="H1263" s="433"/>
      <c r="I1263" s="433"/>
      <c r="J1263" s="433"/>
    </row>
    <row r="1264" spans="3:10" x14ac:dyDescent="0.25">
      <c r="C1264" s="433"/>
      <c r="D1264" s="433"/>
      <c r="E1264" s="433"/>
      <c r="F1264" s="433"/>
      <c r="G1264" s="433"/>
      <c r="H1264" s="433"/>
      <c r="I1264" s="433"/>
      <c r="J1264" s="433"/>
    </row>
    <row r="1265" spans="3:10" x14ac:dyDescent="0.25">
      <c r="C1265" s="433"/>
      <c r="D1265" s="433"/>
      <c r="E1265" s="433"/>
      <c r="F1265" s="433"/>
      <c r="G1265" s="433"/>
      <c r="H1265" s="433"/>
      <c r="I1265" s="433"/>
      <c r="J1265" s="433"/>
    </row>
    <row r="1266" spans="3:10" x14ac:dyDescent="0.25">
      <c r="C1266" s="433"/>
      <c r="D1266" s="433"/>
      <c r="E1266" s="433"/>
      <c r="F1266" s="433"/>
      <c r="G1266" s="433"/>
      <c r="H1266" s="433"/>
      <c r="I1266" s="433"/>
      <c r="J1266" s="433"/>
    </row>
    <row r="1267" spans="3:10" x14ac:dyDescent="0.25">
      <c r="C1267" s="433"/>
      <c r="D1267" s="433"/>
      <c r="E1267" s="433"/>
      <c r="F1267" s="433"/>
      <c r="G1267" s="433"/>
      <c r="H1267" s="433"/>
      <c r="I1267" s="433"/>
      <c r="J1267" s="433"/>
    </row>
    <row r="1268" spans="3:10" x14ac:dyDescent="0.25">
      <c r="C1268" s="433"/>
      <c r="D1268" s="433"/>
      <c r="E1268" s="433"/>
      <c r="F1268" s="433"/>
      <c r="G1268" s="433"/>
      <c r="H1268" s="433"/>
      <c r="I1268" s="433"/>
      <c r="J1268" s="433"/>
    </row>
    <row r="1269" spans="3:10" x14ac:dyDescent="0.25">
      <c r="C1269" s="433"/>
      <c r="D1269" s="433"/>
      <c r="E1269" s="433"/>
      <c r="F1269" s="433"/>
      <c r="G1269" s="433"/>
      <c r="H1269" s="433"/>
      <c r="I1269" s="433"/>
      <c r="J1269" s="433"/>
    </row>
    <row r="1270" spans="3:10" x14ac:dyDescent="0.25">
      <c r="C1270" s="433"/>
      <c r="D1270" s="433"/>
      <c r="E1270" s="433"/>
      <c r="F1270" s="433"/>
      <c r="G1270" s="433"/>
      <c r="H1270" s="433"/>
      <c r="I1270" s="433"/>
      <c r="J1270" s="433"/>
    </row>
    <row r="1271" spans="3:10" x14ac:dyDescent="0.25">
      <c r="C1271" s="433"/>
      <c r="D1271" s="433"/>
      <c r="E1271" s="433"/>
      <c r="F1271" s="433"/>
      <c r="G1271" s="433"/>
      <c r="H1271" s="433"/>
      <c r="I1271" s="433"/>
      <c r="J1271" s="433"/>
    </row>
    <row r="1272" spans="3:10" x14ac:dyDescent="0.25">
      <c r="C1272" s="433"/>
      <c r="D1272" s="433"/>
      <c r="E1272" s="433"/>
      <c r="F1272" s="433"/>
      <c r="G1272" s="433"/>
      <c r="H1272" s="433"/>
      <c r="I1272" s="433"/>
      <c r="J1272" s="433"/>
    </row>
    <row r="1273" spans="3:10" x14ac:dyDescent="0.25">
      <c r="C1273" s="433"/>
      <c r="D1273" s="433"/>
      <c r="E1273" s="433"/>
      <c r="F1273" s="433"/>
      <c r="G1273" s="433"/>
      <c r="H1273" s="433"/>
      <c r="I1273" s="433"/>
      <c r="J1273" s="433"/>
    </row>
    <row r="1274" spans="3:10" x14ac:dyDescent="0.25">
      <c r="C1274" s="433"/>
      <c r="D1274" s="433"/>
      <c r="E1274" s="433"/>
      <c r="F1274" s="433"/>
      <c r="G1274" s="433"/>
      <c r="H1274" s="433"/>
      <c r="I1274" s="433"/>
      <c r="J1274" s="433"/>
    </row>
    <row r="1275" spans="3:10" x14ac:dyDescent="0.25">
      <c r="C1275" s="433"/>
      <c r="D1275" s="433"/>
      <c r="E1275" s="433"/>
      <c r="F1275" s="433"/>
      <c r="G1275" s="433"/>
      <c r="H1275" s="433"/>
      <c r="I1275" s="433"/>
      <c r="J1275" s="433"/>
    </row>
    <row r="1276" spans="3:10" x14ac:dyDescent="0.25">
      <c r="C1276" s="433"/>
      <c r="D1276" s="433"/>
      <c r="E1276" s="433"/>
      <c r="F1276" s="433"/>
      <c r="G1276" s="433"/>
      <c r="H1276" s="433"/>
      <c r="I1276" s="433"/>
      <c r="J1276" s="433"/>
    </row>
    <row r="1277" spans="3:10" x14ac:dyDescent="0.25">
      <c r="C1277" s="433"/>
      <c r="D1277" s="433"/>
      <c r="E1277" s="433"/>
      <c r="F1277" s="433"/>
      <c r="G1277" s="433"/>
      <c r="H1277" s="433"/>
      <c r="I1277" s="433"/>
      <c r="J1277" s="433"/>
    </row>
    <row r="1278" spans="3:10" x14ac:dyDescent="0.25">
      <c r="C1278" s="433"/>
      <c r="D1278" s="433"/>
      <c r="E1278" s="433"/>
      <c r="F1278" s="433"/>
      <c r="G1278" s="433"/>
      <c r="H1278" s="433"/>
      <c r="I1278" s="433"/>
      <c r="J1278" s="433"/>
    </row>
    <row r="1279" spans="3:10" x14ac:dyDescent="0.25">
      <c r="C1279" s="433"/>
      <c r="D1279" s="433"/>
      <c r="E1279" s="433"/>
      <c r="F1279" s="433"/>
      <c r="G1279" s="433"/>
      <c r="H1279" s="433"/>
      <c r="I1279" s="433"/>
      <c r="J1279" s="433"/>
    </row>
    <row r="1280" spans="3:10" x14ac:dyDescent="0.25">
      <c r="C1280" s="433"/>
      <c r="D1280" s="433"/>
      <c r="E1280" s="433"/>
      <c r="F1280" s="433"/>
      <c r="G1280" s="433"/>
      <c r="H1280" s="433"/>
      <c r="I1280" s="433"/>
      <c r="J1280" s="433"/>
    </row>
    <row r="1281" spans="3:10" x14ac:dyDescent="0.25">
      <c r="C1281" s="433"/>
      <c r="D1281" s="433"/>
      <c r="E1281" s="433"/>
      <c r="F1281" s="433"/>
      <c r="G1281" s="433"/>
      <c r="H1281" s="433"/>
      <c r="I1281" s="433"/>
      <c r="J1281" s="433"/>
    </row>
    <row r="1282" spans="3:10" x14ac:dyDescent="0.25">
      <c r="C1282" s="433"/>
      <c r="D1282" s="433"/>
      <c r="E1282" s="433"/>
      <c r="F1282" s="433"/>
      <c r="G1282" s="433"/>
      <c r="H1282" s="433"/>
      <c r="I1282" s="433"/>
      <c r="J1282" s="433"/>
    </row>
    <row r="1283" spans="3:10" x14ac:dyDescent="0.25">
      <c r="C1283" s="433"/>
      <c r="D1283" s="433"/>
      <c r="E1283" s="433"/>
      <c r="F1283" s="433"/>
      <c r="G1283" s="433"/>
      <c r="H1283" s="433"/>
      <c r="I1283" s="433"/>
      <c r="J1283" s="433"/>
    </row>
    <row r="1284" spans="3:10" x14ac:dyDescent="0.25">
      <c r="C1284" s="433"/>
      <c r="D1284" s="433"/>
      <c r="E1284" s="433"/>
      <c r="F1284" s="433"/>
      <c r="G1284" s="433"/>
      <c r="H1284" s="433"/>
      <c r="I1284" s="433"/>
      <c r="J1284" s="433"/>
    </row>
    <row r="1285" spans="3:10" x14ac:dyDescent="0.25">
      <c r="C1285" s="433"/>
      <c r="D1285" s="433"/>
      <c r="E1285" s="433"/>
      <c r="F1285" s="433"/>
      <c r="G1285" s="433"/>
      <c r="H1285" s="433"/>
      <c r="I1285" s="433"/>
      <c r="J1285" s="433"/>
    </row>
    <row r="1286" spans="3:10" x14ac:dyDescent="0.25">
      <c r="C1286" s="433"/>
      <c r="D1286" s="433"/>
      <c r="E1286" s="433"/>
      <c r="F1286" s="433"/>
      <c r="G1286" s="433"/>
      <c r="H1286" s="433"/>
      <c r="I1286" s="433"/>
      <c r="J1286" s="433"/>
    </row>
    <row r="1287" spans="3:10" x14ac:dyDescent="0.25">
      <c r="C1287" s="433"/>
      <c r="D1287" s="433"/>
      <c r="E1287" s="433"/>
      <c r="F1287" s="433"/>
      <c r="G1287" s="433"/>
      <c r="H1287" s="433"/>
      <c r="I1287" s="433"/>
      <c r="J1287" s="433"/>
    </row>
    <row r="1288" spans="3:10" x14ac:dyDescent="0.25">
      <c r="C1288" s="433"/>
      <c r="D1288" s="433"/>
      <c r="E1288" s="433"/>
      <c r="F1288" s="433"/>
      <c r="G1288" s="433"/>
      <c r="H1288" s="433"/>
      <c r="I1288" s="433"/>
      <c r="J1288" s="433"/>
    </row>
    <row r="1289" spans="3:10" x14ac:dyDescent="0.25">
      <c r="C1289" s="433"/>
      <c r="D1289" s="433"/>
      <c r="E1289" s="433"/>
      <c r="F1289" s="433"/>
      <c r="G1289" s="433"/>
      <c r="H1289" s="433"/>
      <c r="I1289" s="433"/>
      <c r="J1289" s="433"/>
    </row>
    <row r="1290" spans="3:10" x14ac:dyDescent="0.25">
      <c r="C1290" s="433"/>
      <c r="D1290" s="433"/>
      <c r="E1290" s="433"/>
      <c r="F1290" s="433"/>
      <c r="G1290" s="433"/>
      <c r="H1290" s="433"/>
      <c r="I1290" s="433"/>
      <c r="J1290" s="433"/>
    </row>
    <row r="1291" spans="3:10" x14ac:dyDescent="0.25">
      <c r="C1291" s="433"/>
      <c r="D1291" s="433"/>
      <c r="E1291" s="433"/>
      <c r="F1291" s="433"/>
      <c r="G1291" s="433"/>
      <c r="H1291" s="433"/>
      <c r="I1291" s="433"/>
      <c r="J1291" s="433"/>
    </row>
    <row r="1292" spans="3:10" x14ac:dyDescent="0.25">
      <c r="C1292" s="433"/>
      <c r="D1292" s="433"/>
      <c r="E1292" s="433"/>
      <c r="F1292" s="433"/>
      <c r="G1292" s="433"/>
      <c r="H1292" s="433"/>
      <c r="I1292" s="433"/>
      <c r="J1292" s="433"/>
    </row>
    <row r="1293" spans="3:10" x14ac:dyDescent="0.25">
      <c r="C1293" s="433"/>
      <c r="D1293" s="433"/>
      <c r="E1293" s="433"/>
      <c r="F1293" s="433"/>
      <c r="G1293" s="433"/>
      <c r="H1293" s="433"/>
      <c r="I1293" s="433"/>
      <c r="J1293" s="433"/>
    </row>
    <row r="1294" spans="3:10" x14ac:dyDescent="0.25">
      <c r="C1294" s="433"/>
      <c r="D1294" s="433"/>
      <c r="E1294" s="433"/>
      <c r="F1294" s="433"/>
      <c r="G1294" s="433"/>
      <c r="H1294" s="433"/>
      <c r="I1294" s="433"/>
      <c r="J1294" s="433"/>
    </row>
    <row r="1295" spans="3:10" x14ac:dyDescent="0.25">
      <c r="C1295" s="433"/>
      <c r="D1295" s="433"/>
      <c r="E1295" s="433"/>
      <c r="F1295" s="433"/>
      <c r="G1295" s="433"/>
      <c r="H1295" s="433"/>
      <c r="I1295" s="433"/>
      <c r="J1295" s="433"/>
    </row>
    <row r="1296" spans="3:10" x14ac:dyDescent="0.25">
      <c r="C1296" s="433"/>
      <c r="D1296" s="433"/>
      <c r="E1296" s="433"/>
      <c r="F1296" s="433"/>
      <c r="G1296" s="433"/>
      <c r="H1296" s="433"/>
      <c r="I1296" s="433"/>
      <c r="J1296" s="433"/>
    </row>
    <row r="1297" spans="3:10" x14ac:dyDescent="0.25">
      <c r="C1297" s="433"/>
      <c r="D1297" s="433"/>
      <c r="E1297" s="433"/>
      <c r="F1297" s="433"/>
      <c r="G1297" s="433"/>
      <c r="H1297" s="433"/>
      <c r="I1297" s="433"/>
      <c r="J1297" s="433"/>
    </row>
    <row r="1298" spans="3:10" x14ac:dyDescent="0.25">
      <c r="C1298" s="433"/>
      <c r="D1298" s="433"/>
      <c r="E1298" s="433"/>
      <c r="F1298" s="433"/>
      <c r="G1298" s="433"/>
      <c r="H1298" s="433"/>
      <c r="I1298" s="433"/>
      <c r="J1298" s="433"/>
    </row>
    <row r="1299" spans="3:10" x14ac:dyDescent="0.25">
      <c r="C1299" s="433"/>
      <c r="D1299" s="433"/>
      <c r="E1299" s="433"/>
      <c r="F1299" s="433"/>
      <c r="G1299" s="433"/>
      <c r="H1299" s="433"/>
      <c r="I1299" s="433"/>
      <c r="J1299" s="433"/>
    </row>
    <row r="1300" spans="3:10" x14ac:dyDescent="0.25">
      <c r="C1300" s="433"/>
      <c r="D1300" s="433"/>
      <c r="E1300" s="433"/>
      <c r="F1300" s="433"/>
      <c r="G1300" s="433"/>
      <c r="H1300" s="433"/>
      <c r="I1300" s="433"/>
      <c r="J1300" s="433"/>
    </row>
    <row r="1301" spans="3:10" x14ac:dyDescent="0.25">
      <c r="C1301" s="433"/>
      <c r="D1301" s="433"/>
      <c r="E1301" s="433"/>
      <c r="F1301" s="433"/>
      <c r="G1301" s="433"/>
      <c r="H1301" s="433"/>
      <c r="I1301" s="433"/>
      <c r="J1301" s="433"/>
    </row>
    <row r="1302" spans="3:10" x14ac:dyDescent="0.25">
      <c r="C1302" s="433"/>
      <c r="D1302" s="433"/>
      <c r="E1302" s="433"/>
      <c r="F1302" s="433"/>
      <c r="G1302" s="433"/>
      <c r="H1302" s="433"/>
      <c r="I1302" s="433"/>
      <c r="J1302" s="433"/>
    </row>
    <row r="1303" spans="3:10" x14ac:dyDescent="0.25">
      <c r="C1303" s="433"/>
      <c r="D1303" s="433"/>
      <c r="E1303" s="433"/>
      <c r="F1303" s="433"/>
      <c r="G1303" s="433"/>
      <c r="H1303" s="433"/>
      <c r="I1303" s="433"/>
      <c r="J1303" s="433"/>
    </row>
    <row r="1304" spans="3:10" x14ac:dyDescent="0.25">
      <c r="C1304" s="433"/>
      <c r="D1304" s="433"/>
      <c r="E1304" s="433"/>
      <c r="F1304" s="433"/>
      <c r="G1304" s="433"/>
      <c r="H1304" s="433"/>
      <c r="I1304" s="433"/>
      <c r="J1304" s="433"/>
    </row>
    <row r="1305" spans="3:10" x14ac:dyDescent="0.25">
      <c r="C1305" s="433"/>
      <c r="D1305" s="433"/>
      <c r="E1305" s="433"/>
      <c r="F1305" s="433"/>
      <c r="G1305" s="433"/>
      <c r="H1305" s="433"/>
      <c r="I1305" s="433"/>
      <c r="J1305" s="433"/>
    </row>
    <row r="1306" spans="3:10" x14ac:dyDescent="0.25">
      <c r="C1306" s="433"/>
      <c r="D1306" s="433"/>
      <c r="E1306" s="433"/>
      <c r="F1306" s="433"/>
      <c r="G1306" s="433"/>
      <c r="H1306" s="433"/>
      <c r="I1306" s="433"/>
      <c r="J1306" s="433"/>
    </row>
    <row r="1307" spans="3:10" x14ac:dyDescent="0.25">
      <c r="C1307" s="433"/>
      <c r="D1307" s="433"/>
      <c r="E1307" s="433"/>
      <c r="F1307" s="433"/>
      <c r="G1307" s="433"/>
      <c r="H1307" s="433"/>
      <c r="I1307" s="433"/>
      <c r="J1307" s="433"/>
    </row>
    <row r="1308" spans="3:10" x14ac:dyDescent="0.25">
      <c r="C1308" s="433"/>
      <c r="D1308" s="433"/>
      <c r="E1308" s="433"/>
      <c r="F1308" s="433"/>
      <c r="G1308" s="433"/>
      <c r="H1308" s="433"/>
      <c r="I1308" s="433"/>
      <c r="J1308" s="433"/>
    </row>
    <row r="1309" spans="3:10" x14ac:dyDescent="0.25">
      <c r="C1309" s="433"/>
      <c r="D1309" s="433"/>
      <c r="E1309" s="433"/>
      <c r="F1309" s="433"/>
      <c r="G1309" s="433"/>
      <c r="H1309" s="433"/>
      <c r="I1309" s="433"/>
      <c r="J1309" s="433"/>
    </row>
    <row r="1310" spans="3:10" x14ac:dyDescent="0.25">
      <c r="C1310" s="433"/>
      <c r="D1310" s="433"/>
      <c r="E1310" s="433"/>
      <c r="F1310" s="433"/>
      <c r="G1310" s="433"/>
      <c r="H1310" s="433"/>
      <c r="I1310" s="433"/>
      <c r="J1310" s="433"/>
    </row>
    <row r="1311" spans="3:10" x14ac:dyDescent="0.25">
      <c r="C1311" s="433"/>
      <c r="D1311" s="433"/>
      <c r="E1311" s="433"/>
      <c r="F1311" s="433"/>
      <c r="G1311" s="433"/>
      <c r="H1311" s="433"/>
      <c r="I1311" s="433"/>
      <c r="J1311" s="433"/>
    </row>
    <row r="1312" spans="3:10" x14ac:dyDescent="0.25">
      <c r="C1312" s="433"/>
      <c r="D1312" s="433"/>
      <c r="E1312" s="433"/>
      <c r="F1312" s="433"/>
      <c r="G1312" s="433"/>
      <c r="H1312" s="433"/>
      <c r="I1312" s="433"/>
      <c r="J1312" s="433"/>
    </row>
    <row r="1313" spans="3:10" x14ac:dyDescent="0.25">
      <c r="C1313" s="433"/>
      <c r="D1313" s="433"/>
      <c r="E1313" s="433"/>
      <c r="F1313" s="433"/>
      <c r="G1313" s="433"/>
      <c r="H1313" s="433"/>
      <c r="I1313" s="433"/>
      <c r="J1313" s="433"/>
    </row>
    <row r="1314" spans="3:10" x14ac:dyDescent="0.25">
      <c r="C1314" s="433"/>
      <c r="D1314" s="433"/>
      <c r="E1314" s="433"/>
      <c r="F1314" s="433"/>
      <c r="G1314" s="433"/>
      <c r="H1314" s="433"/>
      <c r="I1314" s="433"/>
      <c r="J1314" s="433"/>
    </row>
    <row r="1315" spans="3:10" x14ac:dyDescent="0.25">
      <c r="C1315" s="433"/>
      <c r="D1315" s="433"/>
      <c r="E1315" s="433"/>
      <c r="F1315" s="433"/>
      <c r="G1315" s="433"/>
      <c r="H1315" s="433"/>
      <c r="I1315" s="433"/>
      <c r="J1315" s="433"/>
    </row>
    <row r="1316" spans="3:10" x14ac:dyDescent="0.25">
      <c r="C1316" s="433"/>
      <c r="D1316" s="433"/>
      <c r="E1316" s="433"/>
      <c r="F1316" s="433"/>
      <c r="G1316" s="433"/>
      <c r="H1316" s="433"/>
      <c r="I1316" s="433"/>
      <c r="J1316" s="433"/>
    </row>
    <row r="1317" spans="3:10" x14ac:dyDescent="0.25">
      <c r="C1317" s="433"/>
      <c r="D1317" s="433"/>
      <c r="E1317" s="433"/>
      <c r="F1317" s="433"/>
      <c r="G1317" s="433"/>
      <c r="H1317" s="433"/>
      <c r="I1317" s="433"/>
      <c r="J1317" s="433"/>
    </row>
    <row r="1318" spans="3:10" x14ac:dyDescent="0.25">
      <c r="C1318" s="433"/>
      <c r="D1318" s="433"/>
      <c r="E1318" s="433"/>
      <c r="F1318" s="433"/>
      <c r="G1318" s="433"/>
      <c r="H1318" s="433"/>
      <c r="I1318" s="433"/>
      <c r="J1318" s="433"/>
    </row>
    <row r="1319" spans="3:10" x14ac:dyDescent="0.25">
      <c r="C1319" s="433"/>
      <c r="D1319" s="433"/>
      <c r="E1319" s="433"/>
      <c r="F1319" s="433"/>
      <c r="G1319" s="433"/>
      <c r="H1319" s="433"/>
      <c r="I1319" s="433"/>
      <c r="J1319" s="433"/>
    </row>
    <row r="1320" spans="3:10" x14ac:dyDescent="0.25">
      <c r="C1320" s="433"/>
      <c r="D1320" s="433"/>
      <c r="E1320" s="433"/>
      <c r="F1320" s="433"/>
      <c r="G1320" s="433"/>
      <c r="H1320" s="433"/>
      <c r="I1320" s="433"/>
      <c r="J1320" s="433"/>
    </row>
    <row r="1321" spans="3:10" x14ac:dyDescent="0.25">
      <c r="C1321" s="433"/>
      <c r="D1321" s="433"/>
      <c r="E1321" s="433"/>
      <c r="F1321" s="433"/>
      <c r="G1321" s="433"/>
      <c r="H1321" s="433"/>
      <c r="I1321" s="433"/>
      <c r="J1321" s="433"/>
    </row>
    <row r="1322" spans="3:10" x14ac:dyDescent="0.25">
      <c r="C1322" s="433"/>
      <c r="D1322" s="433"/>
      <c r="E1322" s="433"/>
      <c r="F1322" s="433"/>
      <c r="G1322" s="433"/>
      <c r="H1322" s="433"/>
      <c r="I1322" s="433"/>
      <c r="J1322" s="433"/>
    </row>
    <row r="1323" spans="3:10" x14ac:dyDescent="0.25">
      <c r="C1323" s="433"/>
      <c r="D1323" s="433"/>
      <c r="E1323" s="433"/>
      <c r="F1323" s="433"/>
      <c r="G1323" s="433"/>
      <c r="H1323" s="433"/>
      <c r="I1323" s="433"/>
      <c r="J1323" s="433"/>
    </row>
    <row r="1324" spans="3:10" x14ac:dyDescent="0.25">
      <c r="C1324" s="433"/>
      <c r="D1324" s="433"/>
      <c r="E1324" s="433"/>
      <c r="F1324" s="433"/>
      <c r="G1324" s="433"/>
      <c r="H1324" s="433"/>
      <c r="I1324" s="433"/>
      <c r="J1324" s="433"/>
    </row>
    <row r="1325" spans="3:10" x14ac:dyDescent="0.25">
      <c r="C1325" s="433"/>
      <c r="D1325" s="433"/>
      <c r="E1325" s="433"/>
      <c r="F1325" s="433"/>
      <c r="G1325" s="433"/>
      <c r="H1325" s="433"/>
      <c r="I1325" s="433"/>
      <c r="J1325" s="433"/>
    </row>
    <row r="1326" spans="3:10" x14ac:dyDescent="0.25">
      <c r="C1326" s="433"/>
      <c r="D1326" s="433"/>
      <c r="E1326" s="433"/>
      <c r="F1326" s="433"/>
      <c r="G1326" s="433"/>
      <c r="H1326" s="433"/>
      <c r="I1326" s="433"/>
      <c r="J1326" s="433"/>
    </row>
    <row r="1327" spans="3:10" x14ac:dyDescent="0.25">
      <c r="C1327" s="433"/>
      <c r="D1327" s="433"/>
      <c r="E1327" s="433"/>
      <c r="F1327" s="433"/>
      <c r="G1327" s="433"/>
      <c r="H1327" s="433"/>
      <c r="I1327" s="433"/>
      <c r="J1327" s="433"/>
    </row>
    <row r="1328" spans="3:10" x14ac:dyDescent="0.25">
      <c r="C1328" s="433"/>
      <c r="D1328" s="433"/>
      <c r="E1328" s="433"/>
      <c r="F1328" s="433"/>
      <c r="G1328" s="433"/>
      <c r="H1328" s="433"/>
      <c r="I1328" s="433"/>
      <c r="J1328" s="433"/>
    </row>
    <row r="1329" spans="3:10" x14ac:dyDescent="0.25">
      <c r="C1329" s="433"/>
      <c r="D1329" s="433"/>
      <c r="E1329" s="433"/>
      <c r="F1329" s="433"/>
      <c r="G1329" s="433"/>
      <c r="H1329" s="433"/>
      <c r="I1329" s="433"/>
      <c r="J1329" s="433"/>
    </row>
    <row r="1330" spans="3:10" x14ac:dyDescent="0.25">
      <c r="C1330" s="433"/>
      <c r="D1330" s="433"/>
      <c r="E1330" s="433"/>
      <c r="F1330" s="433"/>
      <c r="G1330" s="433"/>
      <c r="H1330" s="433"/>
      <c r="I1330" s="433"/>
      <c r="J1330" s="433"/>
    </row>
    <row r="1331" spans="3:10" x14ac:dyDescent="0.25">
      <c r="C1331" s="433"/>
      <c r="D1331" s="433"/>
      <c r="E1331" s="433"/>
      <c r="F1331" s="433"/>
      <c r="G1331" s="433"/>
      <c r="H1331" s="433"/>
      <c r="I1331" s="433"/>
      <c r="J1331" s="433"/>
    </row>
    <row r="1332" spans="3:10" x14ac:dyDescent="0.25">
      <c r="C1332" s="433"/>
      <c r="D1332" s="433"/>
      <c r="E1332" s="433"/>
      <c r="F1332" s="433"/>
      <c r="G1332" s="433"/>
      <c r="H1332" s="433"/>
      <c r="I1332" s="433"/>
      <c r="J1332" s="433"/>
    </row>
    <row r="1333" spans="3:10" x14ac:dyDescent="0.25">
      <c r="C1333" s="433"/>
      <c r="D1333" s="433"/>
      <c r="E1333" s="433"/>
      <c r="F1333" s="433"/>
      <c r="G1333" s="433"/>
      <c r="H1333" s="433"/>
      <c r="I1333" s="433"/>
      <c r="J1333" s="433"/>
    </row>
    <row r="1334" spans="3:10" x14ac:dyDescent="0.25">
      <c r="C1334" s="433"/>
      <c r="D1334" s="433"/>
      <c r="E1334" s="433"/>
      <c r="F1334" s="433"/>
      <c r="G1334" s="433"/>
      <c r="H1334" s="433"/>
      <c r="I1334" s="433"/>
      <c r="J1334" s="433"/>
    </row>
    <row r="1335" spans="3:10" x14ac:dyDescent="0.25">
      <c r="C1335" s="433"/>
      <c r="D1335" s="433"/>
      <c r="E1335" s="433"/>
      <c r="F1335" s="433"/>
      <c r="G1335" s="433"/>
      <c r="H1335" s="433"/>
      <c r="I1335" s="433"/>
      <c r="J1335" s="433"/>
    </row>
    <row r="1336" spans="3:10" x14ac:dyDescent="0.25">
      <c r="C1336" s="433"/>
      <c r="D1336" s="433"/>
      <c r="E1336" s="433"/>
      <c r="F1336" s="433"/>
      <c r="G1336" s="433"/>
      <c r="H1336" s="433"/>
      <c r="I1336" s="433"/>
      <c r="J1336" s="433"/>
    </row>
    <row r="1337" spans="3:10" x14ac:dyDescent="0.25">
      <c r="C1337" s="433"/>
      <c r="D1337" s="433"/>
      <c r="E1337" s="433"/>
      <c r="F1337" s="433"/>
      <c r="G1337" s="433"/>
      <c r="H1337" s="433"/>
      <c r="I1337" s="433"/>
      <c r="J1337" s="433"/>
    </row>
    <row r="1338" spans="3:10" x14ac:dyDescent="0.25">
      <c r="C1338" s="433"/>
      <c r="D1338" s="433"/>
      <c r="E1338" s="433"/>
      <c r="F1338" s="433"/>
      <c r="G1338" s="433"/>
      <c r="H1338" s="433"/>
      <c r="I1338" s="433"/>
      <c r="J1338" s="433"/>
    </row>
    <row r="1339" spans="3:10" x14ac:dyDescent="0.25">
      <c r="C1339" s="433"/>
      <c r="D1339" s="433"/>
      <c r="E1339" s="433"/>
      <c r="F1339" s="433"/>
      <c r="G1339" s="433"/>
      <c r="H1339" s="433"/>
      <c r="I1339" s="433"/>
      <c r="J1339" s="433"/>
    </row>
    <row r="1340" spans="3:10" x14ac:dyDescent="0.25">
      <c r="C1340" s="433"/>
      <c r="D1340" s="433"/>
      <c r="E1340" s="433"/>
      <c r="F1340" s="433"/>
      <c r="G1340" s="433"/>
      <c r="H1340" s="433"/>
      <c r="I1340" s="433"/>
      <c r="J1340" s="433"/>
    </row>
    <row r="1341" spans="3:10" x14ac:dyDescent="0.25">
      <c r="C1341" s="433"/>
      <c r="D1341" s="433"/>
      <c r="E1341" s="433"/>
      <c r="F1341" s="433"/>
      <c r="G1341" s="433"/>
      <c r="H1341" s="433"/>
      <c r="I1341" s="433"/>
      <c r="J1341" s="433"/>
    </row>
    <row r="1342" spans="3:10" x14ac:dyDescent="0.25">
      <c r="C1342" s="433"/>
      <c r="D1342" s="433"/>
      <c r="E1342" s="433"/>
      <c r="F1342" s="433"/>
      <c r="G1342" s="433"/>
      <c r="H1342" s="433"/>
      <c r="I1342" s="433"/>
      <c r="J1342" s="433"/>
    </row>
    <row r="1343" spans="3:10" x14ac:dyDescent="0.25">
      <c r="C1343" s="433"/>
      <c r="D1343" s="433"/>
      <c r="E1343" s="433"/>
      <c r="F1343" s="433"/>
      <c r="G1343" s="433"/>
      <c r="H1343" s="433"/>
      <c r="I1343" s="433"/>
      <c r="J1343" s="433"/>
    </row>
    <row r="1344" spans="3:10" x14ac:dyDescent="0.25">
      <c r="C1344" s="433"/>
      <c r="D1344" s="433"/>
      <c r="E1344" s="433"/>
      <c r="F1344" s="433"/>
      <c r="G1344" s="433"/>
      <c r="H1344" s="433"/>
      <c r="I1344" s="433"/>
      <c r="J1344" s="433"/>
    </row>
    <row r="1345" spans="3:10" x14ac:dyDescent="0.25">
      <c r="C1345" s="433"/>
      <c r="D1345" s="433"/>
      <c r="E1345" s="433"/>
      <c r="F1345" s="433"/>
      <c r="G1345" s="433"/>
      <c r="H1345" s="433"/>
      <c r="I1345" s="433"/>
      <c r="J1345" s="433"/>
    </row>
    <row r="1346" spans="3:10" x14ac:dyDescent="0.25">
      <c r="C1346" s="433"/>
      <c r="D1346" s="433"/>
      <c r="E1346" s="433"/>
      <c r="F1346" s="433"/>
      <c r="G1346" s="433"/>
      <c r="H1346" s="433"/>
      <c r="I1346" s="433"/>
      <c r="J1346" s="433"/>
    </row>
    <row r="1347" spans="3:10" x14ac:dyDescent="0.25">
      <c r="C1347" s="433"/>
      <c r="D1347" s="433"/>
      <c r="E1347" s="433"/>
      <c r="F1347" s="433"/>
      <c r="G1347" s="433"/>
      <c r="H1347" s="433"/>
      <c r="I1347" s="433"/>
      <c r="J1347" s="433"/>
    </row>
    <row r="1348" spans="3:10" x14ac:dyDescent="0.25">
      <c r="C1348" s="433"/>
      <c r="D1348" s="433"/>
      <c r="E1348" s="433"/>
      <c r="F1348" s="433"/>
      <c r="G1348" s="433"/>
      <c r="H1348" s="433"/>
      <c r="I1348" s="433"/>
      <c r="J1348" s="433"/>
    </row>
    <row r="1349" spans="3:10" x14ac:dyDescent="0.25">
      <c r="C1349" s="433"/>
      <c r="D1349" s="433"/>
      <c r="E1349" s="433"/>
      <c r="F1349" s="433"/>
      <c r="G1349" s="433"/>
      <c r="H1349" s="433"/>
      <c r="I1349" s="433"/>
      <c r="J1349" s="433"/>
    </row>
    <row r="1350" spans="3:10" x14ac:dyDescent="0.25">
      <c r="C1350" s="433"/>
      <c r="D1350" s="433"/>
      <c r="E1350" s="433"/>
      <c r="F1350" s="433"/>
      <c r="G1350" s="433"/>
      <c r="H1350" s="433"/>
      <c r="I1350" s="433"/>
      <c r="J1350" s="433"/>
    </row>
    <row r="1351" spans="3:10" x14ac:dyDescent="0.25">
      <c r="C1351" s="433"/>
      <c r="D1351" s="433"/>
      <c r="E1351" s="433"/>
      <c r="F1351" s="433"/>
      <c r="G1351" s="433"/>
      <c r="H1351" s="433"/>
      <c r="I1351" s="433"/>
      <c r="J1351" s="433"/>
    </row>
    <row r="1352" spans="3:10" x14ac:dyDescent="0.25">
      <c r="C1352" s="433"/>
      <c r="D1352" s="433"/>
      <c r="E1352" s="433"/>
      <c r="F1352" s="433"/>
      <c r="G1352" s="433"/>
      <c r="H1352" s="433"/>
      <c r="I1352" s="433"/>
      <c r="J1352" s="433"/>
    </row>
    <row r="1353" spans="3:10" x14ac:dyDescent="0.25">
      <c r="C1353" s="433"/>
      <c r="D1353" s="433"/>
      <c r="E1353" s="433"/>
      <c r="F1353" s="433"/>
      <c r="G1353" s="433"/>
      <c r="H1353" s="433"/>
      <c r="I1353" s="433"/>
      <c r="J1353" s="433"/>
    </row>
    <row r="1354" spans="3:10" x14ac:dyDescent="0.25">
      <c r="C1354" s="433"/>
      <c r="D1354" s="433"/>
      <c r="E1354" s="433"/>
      <c r="F1354" s="433"/>
      <c r="G1354" s="433"/>
      <c r="H1354" s="433"/>
      <c r="I1354" s="433"/>
      <c r="J1354" s="433"/>
    </row>
    <row r="1355" spans="3:10" x14ac:dyDescent="0.25">
      <c r="C1355" s="433"/>
      <c r="D1355" s="433"/>
      <c r="E1355" s="433"/>
      <c r="F1355" s="433"/>
      <c r="G1355" s="433"/>
      <c r="H1355" s="433"/>
      <c r="I1355" s="433"/>
      <c r="J1355" s="433"/>
    </row>
    <row r="1356" spans="3:10" x14ac:dyDescent="0.25">
      <c r="C1356" s="433"/>
      <c r="D1356" s="433"/>
      <c r="E1356" s="433"/>
      <c r="F1356" s="433"/>
      <c r="G1356" s="433"/>
      <c r="H1356" s="433"/>
      <c r="I1356" s="433"/>
      <c r="J1356" s="433"/>
    </row>
    <row r="1357" spans="3:10" x14ac:dyDescent="0.25">
      <c r="C1357" s="433"/>
      <c r="D1357" s="433"/>
      <c r="E1357" s="433"/>
      <c r="F1357" s="433"/>
      <c r="G1357" s="433"/>
      <c r="H1357" s="433"/>
      <c r="I1357" s="433"/>
      <c r="J1357" s="433"/>
    </row>
    <row r="1358" spans="3:10" x14ac:dyDescent="0.25">
      <c r="C1358" s="433"/>
      <c r="D1358" s="433"/>
      <c r="E1358" s="433"/>
      <c r="F1358" s="433"/>
      <c r="G1358" s="433"/>
      <c r="H1358" s="433"/>
      <c r="I1358" s="433"/>
      <c r="J1358" s="433"/>
    </row>
    <row r="1359" spans="3:10" x14ac:dyDescent="0.25">
      <c r="C1359" s="433"/>
      <c r="D1359" s="433"/>
      <c r="E1359" s="433"/>
      <c r="F1359" s="433"/>
      <c r="G1359" s="433"/>
      <c r="H1359" s="433"/>
      <c r="I1359" s="433"/>
      <c r="J1359" s="433"/>
    </row>
    <row r="1360" spans="3:10" x14ac:dyDescent="0.25">
      <c r="C1360" s="433"/>
      <c r="D1360" s="433"/>
      <c r="E1360" s="433"/>
      <c r="F1360" s="433"/>
      <c r="G1360" s="433"/>
      <c r="H1360" s="433"/>
      <c r="I1360" s="433"/>
      <c r="J1360" s="433"/>
    </row>
    <row r="1361" spans="3:10" x14ac:dyDescent="0.25">
      <c r="C1361" s="433"/>
      <c r="D1361" s="433"/>
      <c r="E1361" s="433"/>
      <c r="F1361" s="433"/>
      <c r="G1361" s="433"/>
      <c r="H1361" s="433"/>
      <c r="I1361" s="433"/>
      <c r="J1361" s="433"/>
    </row>
    <row r="1362" spans="3:10" x14ac:dyDescent="0.25">
      <c r="C1362" s="433"/>
      <c r="D1362" s="433"/>
      <c r="E1362" s="433"/>
      <c r="F1362" s="433"/>
      <c r="G1362" s="433"/>
      <c r="H1362" s="433"/>
      <c r="I1362" s="433"/>
      <c r="J1362" s="433"/>
    </row>
    <row r="1363" spans="3:10" x14ac:dyDescent="0.25">
      <c r="C1363" s="433"/>
      <c r="D1363" s="433"/>
      <c r="E1363" s="433"/>
      <c r="F1363" s="433"/>
      <c r="G1363" s="433"/>
      <c r="H1363" s="433"/>
      <c r="I1363" s="433"/>
      <c r="J1363" s="433"/>
    </row>
    <row r="1364" spans="3:10" x14ac:dyDescent="0.25">
      <c r="C1364" s="433"/>
      <c r="D1364" s="433"/>
      <c r="E1364" s="433"/>
      <c r="F1364" s="433"/>
      <c r="G1364" s="433"/>
      <c r="H1364" s="433"/>
      <c r="I1364" s="433"/>
      <c r="J1364" s="433"/>
    </row>
    <row r="1365" spans="3:10" x14ac:dyDescent="0.25">
      <c r="C1365" s="433"/>
      <c r="D1365" s="433"/>
      <c r="E1365" s="433"/>
      <c r="F1365" s="433"/>
      <c r="G1365" s="433"/>
      <c r="H1365" s="433"/>
      <c r="I1365" s="433"/>
      <c r="J1365" s="433"/>
    </row>
    <row r="1366" spans="3:10" x14ac:dyDescent="0.25">
      <c r="C1366" s="433"/>
      <c r="D1366" s="433"/>
      <c r="E1366" s="433"/>
      <c r="F1366" s="433"/>
      <c r="G1366" s="433"/>
      <c r="H1366" s="433"/>
      <c r="I1366" s="433"/>
      <c r="J1366" s="433"/>
    </row>
    <row r="1367" spans="3:10" x14ac:dyDescent="0.25">
      <c r="C1367" s="433"/>
      <c r="D1367" s="433"/>
      <c r="E1367" s="433"/>
      <c r="F1367" s="433"/>
      <c r="G1367" s="433"/>
      <c r="H1367" s="433"/>
      <c r="I1367" s="433"/>
      <c r="J1367" s="433"/>
    </row>
    <row r="1368" spans="3:10" x14ac:dyDescent="0.25">
      <c r="C1368" s="433"/>
      <c r="D1368" s="433"/>
      <c r="E1368" s="433"/>
      <c r="F1368" s="433"/>
      <c r="G1368" s="433"/>
      <c r="H1368" s="433"/>
      <c r="I1368" s="433"/>
      <c r="J1368" s="433"/>
    </row>
    <row r="1369" spans="3:10" x14ac:dyDescent="0.25">
      <c r="C1369" s="433"/>
      <c r="D1369" s="433"/>
      <c r="E1369" s="433"/>
      <c r="F1369" s="433"/>
      <c r="G1369" s="433"/>
      <c r="H1369" s="433"/>
      <c r="I1369" s="433"/>
      <c r="J1369" s="433"/>
    </row>
    <row r="1370" spans="3:10" x14ac:dyDescent="0.25">
      <c r="C1370" s="433"/>
      <c r="D1370" s="433"/>
      <c r="E1370" s="433"/>
      <c r="F1370" s="433"/>
      <c r="G1370" s="433"/>
      <c r="H1370" s="433"/>
      <c r="I1370" s="433"/>
      <c r="J1370" s="433"/>
    </row>
    <row r="1371" spans="3:10" x14ac:dyDescent="0.25">
      <c r="C1371" s="433"/>
      <c r="D1371" s="433"/>
      <c r="E1371" s="433"/>
      <c r="F1371" s="433"/>
      <c r="G1371" s="433"/>
      <c r="H1371" s="433"/>
      <c r="I1371" s="433"/>
      <c r="J1371" s="433"/>
    </row>
    <row r="1372" spans="3:10" x14ac:dyDescent="0.25">
      <c r="C1372" s="433"/>
      <c r="D1372" s="433"/>
      <c r="E1372" s="433"/>
      <c r="F1372" s="433"/>
      <c r="G1372" s="433"/>
      <c r="H1372" s="433"/>
      <c r="I1372" s="433"/>
      <c r="J1372" s="433"/>
    </row>
    <row r="1373" spans="3:10" x14ac:dyDescent="0.25">
      <c r="C1373" s="433"/>
      <c r="D1373" s="433"/>
      <c r="E1373" s="433"/>
      <c r="F1373" s="433"/>
      <c r="G1373" s="433"/>
      <c r="H1373" s="433"/>
      <c r="I1373" s="433"/>
      <c r="J1373" s="433"/>
    </row>
    <row r="1374" spans="3:10" x14ac:dyDescent="0.25">
      <c r="C1374" s="433"/>
      <c r="D1374" s="433"/>
      <c r="E1374" s="433"/>
      <c r="F1374" s="433"/>
      <c r="G1374" s="433"/>
      <c r="H1374" s="433"/>
      <c r="I1374" s="433"/>
      <c r="J1374" s="433"/>
    </row>
    <row r="1375" spans="3:10" x14ac:dyDescent="0.25">
      <c r="C1375" s="433"/>
      <c r="D1375" s="433"/>
      <c r="E1375" s="433"/>
      <c r="F1375" s="433"/>
      <c r="G1375" s="433"/>
      <c r="H1375" s="433"/>
      <c r="I1375" s="433"/>
      <c r="J1375" s="433"/>
    </row>
    <row r="1376" spans="3:10" x14ac:dyDescent="0.25">
      <c r="C1376" s="433"/>
      <c r="D1376" s="433"/>
      <c r="E1376" s="433"/>
      <c r="F1376" s="433"/>
      <c r="G1376" s="433"/>
      <c r="H1376" s="433"/>
      <c r="I1376" s="433"/>
      <c r="J1376" s="433"/>
    </row>
    <row r="1377" spans="3:10" x14ac:dyDescent="0.25">
      <c r="C1377" s="433"/>
      <c r="D1377" s="433"/>
      <c r="E1377" s="433"/>
      <c r="F1377" s="433"/>
      <c r="G1377" s="433"/>
      <c r="H1377" s="433"/>
      <c r="I1377" s="433"/>
      <c r="J1377" s="433"/>
    </row>
    <row r="1378" spans="3:10" x14ac:dyDescent="0.25">
      <c r="C1378" s="433"/>
      <c r="D1378" s="433"/>
      <c r="E1378" s="433"/>
      <c r="F1378" s="433"/>
      <c r="G1378" s="433"/>
      <c r="H1378" s="433"/>
      <c r="I1378" s="433"/>
      <c r="J1378" s="433"/>
    </row>
    <row r="1379" spans="3:10" x14ac:dyDescent="0.25">
      <c r="C1379" s="433"/>
      <c r="D1379" s="433"/>
      <c r="E1379" s="433"/>
      <c r="F1379" s="433"/>
      <c r="G1379" s="433"/>
      <c r="H1379" s="433"/>
      <c r="I1379" s="433"/>
      <c r="J1379" s="433"/>
    </row>
    <row r="1380" spans="3:10" x14ac:dyDescent="0.25">
      <c r="C1380" s="433"/>
      <c r="D1380" s="433"/>
      <c r="E1380" s="433"/>
      <c r="F1380" s="433"/>
      <c r="G1380" s="433"/>
      <c r="H1380" s="433"/>
      <c r="I1380" s="433"/>
      <c r="J1380" s="433"/>
    </row>
    <row r="1381" spans="3:10" x14ac:dyDescent="0.25">
      <c r="C1381" s="433"/>
      <c r="D1381" s="433"/>
      <c r="E1381" s="433"/>
      <c r="F1381" s="433"/>
      <c r="G1381" s="433"/>
      <c r="H1381" s="433"/>
      <c r="I1381" s="433"/>
      <c r="J1381" s="433"/>
    </row>
    <row r="1382" spans="3:10" x14ac:dyDescent="0.25">
      <c r="C1382" s="433"/>
      <c r="D1382" s="433"/>
      <c r="E1382" s="433"/>
      <c r="F1382" s="433"/>
      <c r="G1382" s="433"/>
      <c r="H1382" s="433"/>
      <c r="I1382" s="433"/>
      <c r="J1382" s="433"/>
    </row>
    <row r="1383" spans="3:10" x14ac:dyDescent="0.25">
      <c r="C1383" s="433"/>
      <c r="D1383" s="433"/>
      <c r="E1383" s="433"/>
      <c r="F1383" s="433"/>
      <c r="G1383" s="433"/>
      <c r="H1383" s="433"/>
      <c r="I1383" s="433"/>
      <c r="J1383" s="433"/>
    </row>
    <row r="1384" spans="3:10" x14ac:dyDescent="0.25">
      <c r="C1384" s="433"/>
      <c r="D1384" s="433"/>
      <c r="E1384" s="433"/>
      <c r="F1384" s="433"/>
      <c r="G1384" s="433"/>
      <c r="H1384" s="433"/>
      <c r="I1384" s="433"/>
      <c r="J1384" s="433"/>
    </row>
    <row r="1385" spans="3:10" x14ac:dyDescent="0.25">
      <c r="C1385" s="433"/>
      <c r="D1385" s="433"/>
      <c r="E1385" s="433"/>
      <c r="F1385" s="433"/>
      <c r="G1385" s="433"/>
      <c r="H1385" s="433"/>
      <c r="I1385" s="433"/>
      <c r="J1385" s="433"/>
    </row>
    <row r="1386" spans="3:10" x14ac:dyDescent="0.25">
      <c r="C1386" s="433"/>
      <c r="D1386" s="433"/>
      <c r="E1386" s="433"/>
      <c r="F1386" s="433"/>
      <c r="G1386" s="433"/>
      <c r="H1386" s="433"/>
      <c r="I1386" s="433"/>
      <c r="J1386" s="433"/>
    </row>
    <row r="1387" spans="3:10" x14ac:dyDescent="0.25">
      <c r="C1387" s="433"/>
      <c r="D1387" s="433"/>
      <c r="E1387" s="433"/>
      <c r="F1387" s="433"/>
      <c r="G1387" s="433"/>
      <c r="H1387" s="433"/>
      <c r="I1387" s="433"/>
      <c r="J1387" s="433"/>
    </row>
    <row r="1388" spans="3:10" x14ac:dyDescent="0.25">
      <c r="C1388" s="433"/>
      <c r="D1388" s="433"/>
      <c r="E1388" s="433"/>
      <c r="F1388" s="433"/>
      <c r="G1388" s="433"/>
      <c r="H1388" s="433"/>
      <c r="I1388" s="433"/>
      <c r="J1388" s="433"/>
    </row>
    <row r="1389" spans="3:10" x14ac:dyDescent="0.25">
      <c r="C1389" s="433"/>
      <c r="D1389" s="433"/>
      <c r="E1389" s="433"/>
      <c r="F1389" s="433"/>
      <c r="G1389" s="433"/>
      <c r="H1389" s="433"/>
      <c r="I1389" s="433"/>
      <c r="J1389" s="433"/>
    </row>
    <row r="1390" spans="3:10" x14ac:dyDescent="0.25">
      <c r="C1390" s="433"/>
      <c r="D1390" s="433"/>
      <c r="E1390" s="433"/>
      <c r="F1390" s="433"/>
      <c r="G1390" s="433"/>
      <c r="H1390" s="433"/>
      <c r="I1390" s="433"/>
      <c r="J1390" s="433"/>
    </row>
    <row r="1391" spans="3:10" x14ac:dyDescent="0.25">
      <c r="C1391" s="433"/>
      <c r="D1391" s="433"/>
      <c r="E1391" s="433"/>
      <c r="F1391" s="433"/>
      <c r="G1391" s="433"/>
      <c r="H1391" s="433"/>
      <c r="I1391" s="433"/>
      <c r="J1391" s="433"/>
    </row>
    <row r="1392" spans="3:10" x14ac:dyDescent="0.25">
      <c r="C1392" s="433"/>
      <c r="D1392" s="433"/>
      <c r="E1392" s="433"/>
      <c r="F1392" s="433"/>
      <c r="G1392" s="433"/>
      <c r="H1392" s="433"/>
      <c r="I1392" s="433"/>
      <c r="J1392" s="433"/>
    </row>
    <row r="1393" spans="3:10" x14ac:dyDescent="0.25">
      <c r="C1393" s="433"/>
      <c r="D1393" s="433"/>
      <c r="E1393" s="433"/>
      <c r="F1393" s="433"/>
      <c r="G1393" s="433"/>
      <c r="H1393" s="433"/>
      <c r="I1393" s="433"/>
      <c r="J1393" s="433"/>
    </row>
    <row r="1394" spans="3:10" x14ac:dyDescent="0.25">
      <c r="C1394" s="433"/>
      <c r="D1394" s="433"/>
      <c r="E1394" s="433"/>
      <c r="F1394" s="433"/>
      <c r="G1394" s="433"/>
      <c r="H1394" s="433"/>
      <c r="I1394" s="433"/>
      <c r="J1394" s="433"/>
    </row>
    <row r="1395" spans="3:10" x14ac:dyDescent="0.25">
      <c r="C1395" s="433"/>
      <c r="D1395" s="433"/>
      <c r="E1395" s="433"/>
      <c r="F1395" s="433"/>
      <c r="G1395" s="433"/>
      <c r="H1395" s="433"/>
      <c r="I1395" s="433"/>
      <c r="J1395" s="433"/>
    </row>
    <row r="1396" spans="3:10" x14ac:dyDescent="0.25">
      <c r="C1396" s="433"/>
      <c r="D1396" s="433"/>
      <c r="E1396" s="433"/>
      <c r="F1396" s="433"/>
      <c r="G1396" s="433"/>
      <c r="H1396" s="433"/>
      <c r="I1396" s="433"/>
      <c r="J1396" s="433"/>
    </row>
    <row r="1397" spans="3:10" x14ac:dyDescent="0.25">
      <c r="C1397" s="433"/>
      <c r="D1397" s="433"/>
      <c r="E1397" s="433"/>
      <c r="F1397" s="433"/>
      <c r="G1397" s="433"/>
      <c r="H1397" s="433"/>
      <c r="I1397" s="433"/>
      <c r="J1397" s="433"/>
    </row>
    <row r="1398" spans="3:10" x14ac:dyDescent="0.25">
      <c r="C1398" s="433"/>
      <c r="D1398" s="433"/>
      <c r="E1398" s="433"/>
      <c r="F1398" s="433"/>
      <c r="G1398" s="433"/>
      <c r="H1398" s="433"/>
      <c r="I1398" s="433"/>
      <c r="J1398" s="433"/>
    </row>
    <row r="1399" spans="3:10" x14ac:dyDescent="0.25">
      <c r="C1399" s="433"/>
      <c r="D1399" s="433"/>
      <c r="E1399" s="433"/>
      <c r="F1399" s="433"/>
      <c r="G1399" s="433"/>
      <c r="H1399" s="433"/>
      <c r="I1399" s="433"/>
      <c r="J1399" s="433"/>
    </row>
    <row r="1400" spans="3:10" x14ac:dyDescent="0.25">
      <c r="C1400" s="433"/>
      <c r="D1400" s="433"/>
      <c r="E1400" s="433"/>
      <c r="F1400" s="433"/>
      <c r="G1400" s="433"/>
      <c r="H1400" s="433"/>
      <c r="I1400" s="433"/>
      <c r="J1400" s="433"/>
    </row>
    <row r="1401" spans="3:10" x14ac:dyDescent="0.25">
      <c r="C1401" s="433"/>
      <c r="D1401" s="433"/>
      <c r="E1401" s="433"/>
      <c r="F1401" s="433"/>
      <c r="G1401" s="433"/>
      <c r="H1401" s="433"/>
      <c r="I1401" s="433"/>
      <c r="J1401" s="433"/>
    </row>
    <row r="1402" spans="3:10" x14ac:dyDescent="0.25">
      <c r="C1402" s="433"/>
      <c r="D1402" s="433"/>
      <c r="E1402" s="433"/>
      <c r="F1402" s="433"/>
      <c r="G1402" s="433"/>
      <c r="H1402" s="433"/>
      <c r="I1402" s="433"/>
      <c r="J1402" s="433"/>
    </row>
    <row r="1403" spans="3:10" x14ac:dyDescent="0.25">
      <c r="C1403" s="433"/>
      <c r="D1403" s="433"/>
      <c r="E1403" s="433"/>
      <c r="F1403" s="433"/>
      <c r="G1403" s="433"/>
      <c r="H1403" s="433"/>
      <c r="I1403" s="433"/>
      <c r="J1403" s="433"/>
    </row>
    <row r="1404" spans="3:10" x14ac:dyDescent="0.25">
      <c r="C1404" s="433"/>
      <c r="D1404" s="433"/>
      <c r="E1404" s="433"/>
      <c r="F1404" s="433"/>
      <c r="G1404" s="433"/>
      <c r="H1404" s="433"/>
      <c r="I1404" s="433"/>
      <c r="J1404" s="433"/>
    </row>
    <row r="1405" spans="3:10" x14ac:dyDescent="0.25">
      <c r="C1405" s="433"/>
      <c r="D1405" s="433"/>
      <c r="E1405" s="433"/>
      <c r="F1405" s="433"/>
      <c r="G1405" s="433"/>
      <c r="H1405" s="433"/>
      <c r="I1405" s="433"/>
      <c r="J1405" s="433"/>
    </row>
    <row r="1406" spans="3:10" x14ac:dyDescent="0.25">
      <c r="C1406" s="433"/>
      <c r="D1406" s="433"/>
      <c r="E1406" s="433"/>
      <c r="F1406" s="433"/>
      <c r="G1406" s="433"/>
      <c r="H1406" s="433"/>
      <c r="I1406" s="433"/>
      <c r="J1406" s="433"/>
    </row>
    <row r="1407" spans="3:10" x14ac:dyDescent="0.25">
      <c r="C1407" s="433"/>
      <c r="D1407" s="433"/>
      <c r="E1407" s="433"/>
      <c r="F1407" s="433"/>
      <c r="G1407" s="433"/>
      <c r="H1407" s="433"/>
      <c r="I1407" s="433"/>
      <c r="J1407" s="433"/>
    </row>
    <row r="1408" spans="3:10" x14ac:dyDescent="0.25">
      <c r="C1408" s="433"/>
      <c r="D1408" s="433"/>
      <c r="E1408" s="433"/>
      <c r="F1408" s="433"/>
      <c r="G1408" s="433"/>
      <c r="H1408" s="433"/>
      <c r="I1408" s="433"/>
      <c r="J1408" s="433"/>
    </row>
    <row r="1409" spans="3:10" x14ac:dyDescent="0.25">
      <c r="C1409" s="433"/>
      <c r="D1409" s="433"/>
      <c r="E1409" s="433"/>
      <c r="F1409" s="433"/>
      <c r="G1409" s="433"/>
      <c r="H1409" s="433"/>
      <c r="I1409" s="433"/>
      <c r="J1409" s="433"/>
    </row>
    <row r="1410" spans="3:10" x14ac:dyDescent="0.25">
      <c r="C1410" s="433"/>
      <c r="D1410" s="433"/>
      <c r="E1410" s="433"/>
      <c r="F1410" s="433"/>
      <c r="G1410" s="433"/>
      <c r="H1410" s="433"/>
      <c r="I1410" s="433"/>
      <c r="J1410" s="433"/>
    </row>
    <row r="1411" spans="3:10" x14ac:dyDescent="0.25">
      <c r="C1411" s="433"/>
      <c r="D1411" s="433"/>
      <c r="E1411" s="433"/>
      <c r="F1411" s="433"/>
      <c r="G1411" s="433"/>
      <c r="H1411" s="433"/>
      <c r="I1411" s="433"/>
      <c r="J1411" s="433"/>
    </row>
    <row r="1412" spans="3:10" x14ac:dyDescent="0.25">
      <c r="C1412" s="433"/>
      <c r="D1412" s="433"/>
      <c r="E1412" s="433"/>
      <c r="F1412" s="433"/>
      <c r="G1412" s="433"/>
      <c r="H1412" s="433"/>
      <c r="I1412" s="433"/>
      <c r="J1412" s="433"/>
    </row>
    <row r="1413" spans="3:10" x14ac:dyDescent="0.25">
      <c r="C1413" s="433"/>
      <c r="D1413" s="433"/>
      <c r="E1413" s="433"/>
      <c r="F1413" s="433"/>
      <c r="G1413" s="433"/>
      <c r="H1413" s="433"/>
      <c r="I1413" s="433"/>
      <c r="J1413" s="433"/>
    </row>
    <row r="1414" spans="3:10" x14ac:dyDescent="0.25">
      <c r="C1414" s="433"/>
      <c r="D1414" s="433"/>
      <c r="E1414" s="433"/>
      <c r="F1414" s="433"/>
      <c r="G1414" s="433"/>
      <c r="H1414" s="433"/>
      <c r="I1414" s="433"/>
      <c r="J1414" s="433"/>
    </row>
    <row r="1415" spans="3:10" x14ac:dyDescent="0.25">
      <c r="C1415" s="433"/>
      <c r="D1415" s="433"/>
      <c r="E1415" s="433"/>
      <c r="F1415" s="433"/>
      <c r="G1415" s="433"/>
      <c r="H1415" s="433"/>
      <c r="I1415" s="433"/>
      <c r="J1415" s="433"/>
    </row>
    <row r="1416" spans="3:10" x14ac:dyDescent="0.25">
      <c r="C1416" s="433"/>
      <c r="D1416" s="433"/>
      <c r="E1416" s="433"/>
      <c r="F1416" s="433"/>
      <c r="G1416" s="433"/>
      <c r="H1416" s="433"/>
      <c r="I1416" s="433"/>
      <c r="J1416" s="433"/>
    </row>
    <row r="1417" spans="3:10" x14ac:dyDescent="0.25">
      <c r="C1417" s="433"/>
      <c r="D1417" s="433"/>
      <c r="E1417" s="433"/>
      <c r="F1417" s="433"/>
      <c r="G1417" s="433"/>
      <c r="H1417" s="433"/>
      <c r="I1417" s="433"/>
      <c r="J1417" s="433"/>
    </row>
    <row r="1418" spans="3:10" x14ac:dyDescent="0.25">
      <c r="C1418" s="433"/>
      <c r="D1418" s="433"/>
      <c r="E1418" s="433"/>
      <c r="F1418" s="433"/>
      <c r="G1418" s="433"/>
      <c r="H1418" s="433"/>
      <c r="I1418" s="433"/>
      <c r="J1418" s="433"/>
    </row>
    <row r="1419" spans="3:10" x14ac:dyDescent="0.25">
      <c r="C1419" s="433"/>
      <c r="D1419" s="433"/>
      <c r="E1419" s="433"/>
      <c r="F1419" s="433"/>
      <c r="G1419" s="433"/>
      <c r="H1419" s="433"/>
      <c r="I1419" s="433"/>
      <c r="J1419" s="433"/>
    </row>
    <row r="1420" spans="3:10" x14ac:dyDescent="0.25">
      <c r="C1420" s="433"/>
      <c r="D1420" s="433"/>
      <c r="E1420" s="433"/>
      <c r="F1420" s="433"/>
      <c r="G1420" s="433"/>
      <c r="H1420" s="433"/>
      <c r="I1420" s="433"/>
      <c r="J1420" s="433"/>
    </row>
    <row r="1421" spans="3:10" x14ac:dyDescent="0.25">
      <c r="C1421" s="433"/>
      <c r="D1421" s="433"/>
      <c r="E1421" s="433"/>
      <c r="F1421" s="433"/>
      <c r="G1421" s="433"/>
      <c r="H1421" s="433"/>
      <c r="I1421" s="433"/>
      <c r="J1421" s="433"/>
    </row>
    <row r="1422" spans="3:10" x14ac:dyDescent="0.25">
      <c r="C1422" s="433"/>
      <c r="D1422" s="433"/>
      <c r="E1422" s="433"/>
      <c r="F1422" s="433"/>
      <c r="G1422" s="433"/>
      <c r="H1422" s="433"/>
      <c r="I1422" s="433"/>
      <c r="J1422" s="433"/>
    </row>
    <row r="1423" spans="3:10" x14ac:dyDescent="0.25">
      <c r="C1423" s="433"/>
      <c r="D1423" s="433"/>
      <c r="E1423" s="433"/>
      <c r="F1423" s="433"/>
      <c r="G1423" s="433"/>
      <c r="H1423" s="433"/>
      <c r="I1423" s="433"/>
      <c r="J1423" s="433"/>
    </row>
    <row r="1424" spans="3:10" x14ac:dyDescent="0.25">
      <c r="C1424" s="433"/>
      <c r="D1424" s="433"/>
      <c r="E1424" s="433"/>
      <c r="F1424" s="433"/>
      <c r="G1424" s="433"/>
      <c r="H1424" s="433"/>
      <c r="I1424" s="433"/>
      <c r="J1424" s="433"/>
    </row>
    <row r="1425" spans="3:10" x14ac:dyDescent="0.25">
      <c r="C1425" s="433"/>
      <c r="D1425" s="433"/>
      <c r="E1425" s="433"/>
      <c r="F1425" s="433"/>
      <c r="G1425" s="433"/>
      <c r="H1425" s="433"/>
      <c r="I1425" s="433"/>
      <c r="J1425" s="433"/>
    </row>
    <row r="1426" spans="3:10" x14ac:dyDescent="0.25">
      <c r="C1426" s="433"/>
      <c r="D1426" s="433"/>
      <c r="E1426" s="433"/>
      <c r="F1426" s="433"/>
      <c r="G1426" s="433"/>
      <c r="H1426" s="433"/>
      <c r="I1426" s="433"/>
      <c r="J1426" s="433"/>
    </row>
    <row r="1427" spans="3:10" x14ac:dyDescent="0.25">
      <c r="C1427" s="433"/>
      <c r="D1427" s="433"/>
      <c r="E1427" s="433"/>
      <c r="F1427" s="433"/>
      <c r="G1427" s="433"/>
      <c r="H1427" s="433"/>
      <c r="I1427" s="433"/>
      <c r="J1427" s="433"/>
    </row>
    <row r="1428" spans="3:10" x14ac:dyDescent="0.25">
      <c r="C1428" s="433"/>
      <c r="D1428" s="433"/>
      <c r="E1428" s="433"/>
      <c r="F1428" s="433"/>
      <c r="G1428" s="433"/>
      <c r="H1428" s="433"/>
      <c r="I1428" s="433"/>
      <c r="J1428" s="433"/>
    </row>
    <row r="1429" spans="3:10" x14ac:dyDescent="0.25">
      <c r="C1429" s="433"/>
      <c r="D1429" s="433"/>
      <c r="E1429" s="433"/>
      <c r="F1429" s="433"/>
      <c r="G1429" s="433"/>
      <c r="H1429" s="433"/>
      <c r="I1429" s="433"/>
      <c r="J1429" s="433"/>
    </row>
    <row r="1430" spans="3:10" x14ac:dyDescent="0.25">
      <c r="C1430" s="433"/>
      <c r="D1430" s="433"/>
      <c r="E1430" s="433"/>
      <c r="F1430" s="433"/>
      <c r="G1430" s="433"/>
      <c r="H1430" s="433"/>
      <c r="I1430" s="433"/>
      <c r="J1430" s="433"/>
    </row>
    <row r="1431" spans="3:10" x14ac:dyDescent="0.25">
      <c r="C1431" s="433"/>
      <c r="D1431" s="433"/>
      <c r="E1431" s="433"/>
      <c r="F1431" s="433"/>
      <c r="G1431" s="433"/>
      <c r="H1431" s="433"/>
      <c r="I1431" s="433"/>
      <c r="J1431" s="433"/>
    </row>
    <row r="1432" spans="3:10" x14ac:dyDescent="0.25">
      <c r="C1432" s="433"/>
      <c r="D1432" s="433"/>
      <c r="E1432" s="433"/>
      <c r="F1432" s="433"/>
      <c r="G1432" s="433"/>
      <c r="H1432" s="433"/>
      <c r="I1432" s="433"/>
      <c r="J1432" s="433"/>
    </row>
    <row r="1433" spans="3:10" x14ac:dyDescent="0.25">
      <c r="C1433" s="433"/>
      <c r="D1433" s="433"/>
      <c r="E1433" s="433"/>
      <c r="F1433" s="433"/>
      <c r="G1433" s="433"/>
      <c r="H1433" s="433"/>
      <c r="I1433" s="433"/>
      <c r="J1433" s="433"/>
    </row>
    <row r="1434" spans="3:10" x14ac:dyDescent="0.25">
      <c r="C1434" s="433"/>
      <c r="D1434" s="433"/>
      <c r="E1434" s="433"/>
      <c r="F1434" s="433"/>
      <c r="G1434" s="433"/>
      <c r="H1434" s="433"/>
      <c r="I1434" s="433"/>
      <c r="J1434" s="433"/>
    </row>
    <row r="1435" spans="3:10" x14ac:dyDescent="0.25">
      <c r="C1435" s="433"/>
      <c r="D1435" s="433"/>
      <c r="E1435" s="433"/>
      <c r="F1435" s="433"/>
      <c r="G1435" s="433"/>
      <c r="H1435" s="433"/>
      <c r="I1435" s="433"/>
      <c r="J1435" s="433"/>
    </row>
    <row r="1436" spans="3:10" x14ac:dyDescent="0.25">
      <c r="C1436" s="433"/>
      <c r="D1436" s="433"/>
      <c r="E1436" s="433"/>
      <c r="F1436" s="433"/>
      <c r="G1436" s="433"/>
      <c r="H1436" s="433"/>
      <c r="I1436" s="433"/>
      <c r="J1436" s="433"/>
    </row>
    <row r="1437" spans="3:10" x14ac:dyDescent="0.25">
      <c r="C1437" s="433"/>
      <c r="D1437" s="433"/>
      <c r="E1437" s="433"/>
      <c r="F1437" s="433"/>
      <c r="G1437" s="433"/>
      <c r="H1437" s="433"/>
      <c r="I1437" s="433"/>
      <c r="J1437" s="433"/>
    </row>
    <row r="1438" spans="3:10" x14ac:dyDescent="0.25">
      <c r="C1438" s="433"/>
      <c r="D1438" s="433"/>
      <c r="E1438" s="433"/>
      <c r="F1438" s="433"/>
      <c r="G1438" s="433"/>
      <c r="H1438" s="433"/>
      <c r="I1438" s="433"/>
      <c r="J1438" s="433"/>
    </row>
    <row r="1439" spans="3:10" x14ac:dyDescent="0.25">
      <c r="C1439" s="433"/>
      <c r="D1439" s="433"/>
      <c r="E1439" s="433"/>
      <c r="F1439" s="433"/>
      <c r="G1439" s="433"/>
      <c r="H1439" s="433"/>
      <c r="I1439" s="433"/>
      <c r="J1439" s="433"/>
    </row>
    <row r="1440" spans="3:10" x14ac:dyDescent="0.25">
      <c r="C1440" s="433"/>
      <c r="D1440" s="433"/>
      <c r="E1440" s="433"/>
      <c r="F1440" s="433"/>
      <c r="G1440" s="433"/>
      <c r="H1440" s="433"/>
      <c r="I1440" s="433"/>
      <c r="J1440" s="433"/>
    </row>
    <row r="1441" spans="3:10" x14ac:dyDescent="0.25">
      <c r="C1441" s="433"/>
      <c r="D1441" s="433"/>
      <c r="E1441" s="433"/>
      <c r="F1441" s="433"/>
      <c r="G1441" s="433"/>
      <c r="H1441" s="433"/>
      <c r="I1441" s="433"/>
      <c r="J1441" s="433"/>
    </row>
    <row r="1442" spans="3:10" x14ac:dyDescent="0.25">
      <c r="C1442" s="433"/>
      <c r="D1442" s="433"/>
      <c r="E1442" s="433"/>
      <c r="F1442" s="433"/>
      <c r="G1442" s="433"/>
      <c r="H1442" s="433"/>
      <c r="I1442" s="433"/>
      <c r="J1442" s="433"/>
    </row>
    <row r="1443" spans="3:10" x14ac:dyDescent="0.25">
      <c r="C1443" s="433"/>
      <c r="D1443" s="433"/>
      <c r="E1443" s="433"/>
      <c r="F1443" s="433"/>
      <c r="G1443" s="433"/>
      <c r="H1443" s="433"/>
      <c r="I1443" s="433"/>
      <c r="J1443" s="433"/>
    </row>
    <row r="1444" spans="3:10" x14ac:dyDescent="0.25">
      <c r="C1444" s="433"/>
      <c r="D1444" s="433"/>
      <c r="E1444" s="433"/>
      <c r="F1444" s="433"/>
      <c r="G1444" s="433"/>
      <c r="H1444" s="433"/>
      <c r="I1444" s="433"/>
      <c r="J1444" s="433"/>
    </row>
    <row r="1445" spans="3:10" x14ac:dyDescent="0.25">
      <c r="C1445" s="433"/>
      <c r="D1445" s="433"/>
      <c r="E1445" s="433"/>
      <c r="F1445" s="433"/>
      <c r="G1445" s="433"/>
      <c r="H1445" s="433"/>
      <c r="I1445" s="433"/>
      <c r="J1445" s="433"/>
    </row>
    <row r="1446" spans="3:10" x14ac:dyDescent="0.25">
      <c r="C1446" s="433"/>
      <c r="D1446" s="433"/>
      <c r="E1446" s="433"/>
      <c r="F1446" s="433"/>
      <c r="G1446" s="433"/>
      <c r="H1446" s="433"/>
      <c r="I1446" s="433"/>
      <c r="J1446" s="433"/>
    </row>
    <row r="1447" spans="3:10" x14ac:dyDescent="0.25">
      <c r="C1447" s="433"/>
      <c r="D1447" s="433"/>
      <c r="E1447" s="433"/>
      <c r="F1447" s="433"/>
      <c r="G1447" s="433"/>
      <c r="H1447" s="433"/>
      <c r="I1447" s="433"/>
      <c r="J1447" s="433"/>
    </row>
    <row r="1448" spans="3:10" x14ac:dyDescent="0.25">
      <c r="C1448" s="433"/>
      <c r="D1448" s="433"/>
      <c r="E1448" s="433"/>
      <c r="F1448" s="433"/>
      <c r="G1448" s="433"/>
      <c r="H1448" s="433"/>
      <c r="I1448" s="433"/>
      <c r="J1448" s="433"/>
    </row>
    <row r="1449" spans="3:10" x14ac:dyDescent="0.25">
      <c r="C1449" s="433"/>
      <c r="D1449" s="433"/>
      <c r="E1449" s="433"/>
      <c r="F1449" s="433"/>
      <c r="G1449" s="433"/>
      <c r="H1449" s="433"/>
      <c r="I1449" s="433"/>
      <c r="J1449" s="433"/>
    </row>
    <row r="1450" spans="3:10" x14ac:dyDescent="0.25">
      <c r="C1450" s="433"/>
      <c r="D1450" s="433"/>
      <c r="E1450" s="433"/>
      <c r="F1450" s="433"/>
      <c r="G1450" s="433"/>
      <c r="H1450" s="433"/>
      <c r="I1450" s="433"/>
      <c r="J1450" s="433"/>
    </row>
    <row r="1451" spans="3:10" x14ac:dyDescent="0.25">
      <c r="C1451" s="433"/>
      <c r="D1451" s="433"/>
      <c r="E1451" s="433"/>
      <c r="F1451" s="433"/>
      <c r="G1451" s="433"/>
      <c r="H1451" s="433"/>
      <c r="I1451" s="433"/>
      <c r="J1451" s="433"/>
    </row>
    <row r="1452" spans="3:10" x14ac:dyDescent="0.25">
      <c r="C1452" s="433"/>
      <c r="D1452" s="433"/>
      <c r="E1452" s="433"/>
      <c r="F1452" s="433"/>
      <c r="G1452" s="433"/>
      <c r="H1452" s="433"/>
      <c r="I1452" s="433"/>
      <c r="J1452" s="433"/>
    </row>
    <row r="1453" spans="3:10" x14ac:dyDescent="0.25">
      <c r="C1453" s="433"/>
      <c r="D1453" s="433"/>
      <c r="E1453" s="433"/>
      <c r="F1453" s="433"/>
      <c r="G1453" s="433"/>
      <c r="H1453" s="433"/>
      <c r="I1453" s="433"/>
      <c r="J1453" s="433"/>
    </row>
    <row r="1454" spans="3:10" x14ac:dyDescent="0.25">
      <c r="C1454" s="433"/>
      <c r="D1454" s="433"/>
      <c r="E1454" s="433"/>
      <c r="F1454" s="433"/>
      <c r="G1454" s="433"/>
      <c r="H1454" s="433"/>
      <c r="I1454" s="433"/>
      <c r="J1454" s="433"/>
    </row>
    <row r="1455" spans="3:10" x14ac:dyDescent="0.25">
      <c r="C1455" s="433"/>
      <c r="D1455" s="433"/>
      <c r="E1455" s="433"/>
      <c r="F1455" s="433"/>
      <c r="G1455" s="433"/>
      <c r="H1455" s="433"/>
      <c r="I1455" s="433"/>
      <c r="J1455" s="433"/>
    </row>
    <row r="1456" spans="3:10" x14ac:dyDescent="0.25">
      <c r="C1456" s="433"/>
      <c r="D1456" s="433"/>
      <c r="E1456" s="433"/>
      <c r="F1456" s="433"/>
      <c r="G1456" s="433"/>
      <c r="H1456" s="433"/>
      <c r="I1456" s="433"/>
      <c r="J1456" s="433"/>
    </row>
    <row r="1457" spans="3:10" x14ac:dyDescent="0.25">
      <c r="C1457" s="433"/>
      <c r="D1457" s="433"/>
      <c r="E1457" s="433"/>
      <c r="F1457" s="433"/>
      <c r="G1457" s="433"/>
      <c r="H1457" s="433"/>
      <c r="I1457" s="433"/>
      <c r="J1457" s="433"/>
    </row>
    <row r="1458" spans="3:10" x14ac:dyDescent="0.25">
      <c r="C1458" s="433"/>
      <c r="D1458" s="433"/>
      <c r="E1458" s="433"/>
      <c r="F1458" s="433"/>
      <c r="G1458" s="433"/>
      <c r="H1458" s="433"/>
      <c r="I1458" s="433"/>
      <c r="J1458" s="433"/>
    </row>
    <row r="1459" spans="3:10" x14ac:dyDescent="0.25">
      <c r="C1459" s="433"/>
      <c r="D1459" s="433"/>
      <c r="E1459" s="433"/>
      <c r="F1459" s="433"/>
      <c r="G1459" s="433"/>
      <c r="H1459" s="433"/>
      <c r="I1459" s="433"/>
      <c r="J1459" s="433"/>
    </row>
    <row r="1460" spans="3:10" x14ac:dyDescent="0.25">
      <c r="C1460" s="433"/>
      <c r="D1460" s="433"/>
      <c r="E1460" s="433"/>
      <c r="F1460" s="433"/>
      <c r="G1460" s="433"/>
      <c r="H1460" s="433"/>
      <c r="I1460" s="433"/>
      <c r="J1460" s="433"/>
    </row>
    <row r="1461" spans="3:10" x14ac:dyDescent="0.25">
      <c r="C1461" s="433"/>
      <c r="D1461" s="433"/>
      <c r="E1461" s="433"/>
      <c r="F1461" s="433"/>
      <c r="G1461" s="433"/>
      <c r="H1461" s="433"/>
      <c r="I1461" s="433"/>
      <c r="J1461" s="433"/>
    </row>
    <row r="1462" spans="3:10" x14ac:dyDescent="0.25">
      <c r="C1462" s="433"/>
      <c r="D1462" s="433"/>
      <c r="E1462" s="433"/>
      <c r="F1462" s="433"/>
      <c r="G1462" s="433"/>
      <c r="H1462" s="433"/>
      <c r="I1462" s="433"/>
      <c r="J1462" s="433"/>
    </row>
    <row r="1463" spans="3:10" x14ac:dyDescent="0.25">
      <c r="C1463" s="433"/>
      <c r="D1463" s="433"/>
      <c r="E1463" s="433"/>
      <c r="F1463" s="433"/>
      <c r="G1463" s="433"/>
      <c r="H1463" s="433"/>
      <c r="I1463" s="433"/>
      <c r="J1463" s="433"/>
    </row>
    <row r="1464" spans="3:10" x14ac:dyDescent="0.25">
      <c r="C1464" s="433"/>
      <c r="D1464" s="433"/>
      <c r="E1464" s="433"/>
      <c r="F1464" s="433"/>
      <c r="G1464" s="433"/>
      <c r="H1464" s="433"/>
      <c r="I1464" s="433"/>
      <c r="J1464" s="433"/>
    </row>
    <row r="1465" spans="3:10" x14ac:dyDescent="0.25">
      <c r="C1465" s="433"/>
      <c r="D1465" s="433"/>
      <c r="E1465" s="433"/>
      <c r="F1465" s="433"/>
      <c r="G1465" s="433"/>
      <c r="H1465" s="433"/>
      <c r="I1465" s="433"/>
      <c r="J1465" s="433"/>
    </row>
    <row r="1466" spans="3:10" x14ac:dyDescent="0.25">
      <c r="C1466" s="433"/>
      <c r="D1466" s="433"/>
      <c r="E1466" s="433"/>
      <c r="F1466" s="433"/>
      <c r="G1466" s="433"/>
      <c r="H1466" s="433"/>
      <c r="I1466" s="433"/>
      <c r="J1466" s="433"/>
    </row>
    <row r="1467" spans="3:10" x14ac:dyDescent="0.25">
      <c r="C1467" s="433"/>
      <c r="D1467" s="433"/>
      <c r="E1467" s="433"/>
      <c r="F1467" s="433"/>
      <c r="G1467" s="433"/>
      <c r="H1467" s="433"/>
      <c r="I1467" s="433"/>
      <c r="J1467" s="433"/>
    </row>
    <row r="1468" spans="3:10" x14ac:dyDescent="0.25">
      <c r="C1468" s="433"/>
      <c r="D1468" s="433"/>
      <c r="E1468" s="433"/>
      <c r="F1468" s="433"/>
      <c r="G1468" s="433"/>
      <c r="H1468" s="433"/>
      <c r="I1468" s="433"/>
      <c r="J1468" s="433"/>
    </row>
    <row r="1469" spans="3:10" x14ac:dyDescent="0.25">
      <c r="C1469" s="433"/>
      <c r="D1469" s="433"/>
      <c r="E1469" s="433"/>
      <c r="F1469" s="433"/>
      <c r="G1469" s="433"/>
      <c r="H1469" s="433"/>
      <c r="I1469" s="433"/>
      <c r="J1469" s="433"/>
    </row>
    <row r="1470" spans="3:10" x14ac:dyDescent="0.25">
      <c r="C1470" s="433"/>
      <c r="D1470" s="433"/>
      <c r="E1470" s="433"/>
      <c r="F1470" s="433"/>
      <c r="G1470" s="433"/>
      <c r="H1470" s="433"/>
      <c r="I1470" s="433"/>
      <c r="J1470" s="433"/>
    </row>
    <row r="1471" spans="3:10" x14ac:dyDescent="0.25">
      <c r="C1471" s="433"/>
      <c r="D1471" s="433"/>
      <c r="E1471" s="433"/>
      <c r="F1471" s="433"/>
      <c r="G1471" s="433"/>
      <c r="H1471" s="433"/>
      <c r="I1471" s="433"/>
      <c r="J1471" s="433"/>
    </row>
    <row r="1472" spans="3:10" x14ac:dyDescent="0.25">
      <c r="C1472" s="433"/>
      <c r="D1472" s="433"/>
      <c r="E1472" s="433"/>
      <c r="F1472" s="433"/>
      <c r="G1472" s="433"/>
      <c r="H1472" s="433"/>
      <c r="I1472" s="433"/>
      <c r="J1472" s="433"/>
    </row>
    <row r="1473" spans="3:10" x14ac:dyDescent="0.25">
      <c r="C1473" s="433"/>
      <c r="D1473" s="433"/>
      <c r="E1473" s="433"/>
      <c r="F1473" s="433"/>
      <c r="G1473" s="433"/>
      <c r="H1473" s="433"/>
      <c r="I1473" s="433"/>
      <c r="J1473" s="433"/>
    </row>
    <row r="1474" spans="3:10" x14ac:dyDescent="0.25">
      <c r="C1474" s="433"/>
      <c r="D1474" s="433"/>
      <c r="E1474" s="433"/>
      <c r="F1474" s="433"/>
      <c r="G1474" s="433"/>
      <c r="H1474" s="433"/>
      <c r="I1474" s="433"/>
      <c r="J1474" s="433"/>
    </row>
    <row r="1475" spans="3:10" x14ac:dyDescent="0.25">
      <c r="C1475" s="433"/>
      <c r="D1475" s="433"/>
      <c r="E1475" s="433"/>
      <c r="F1475" s="433"/>
      <c r="G1475" s="433"/>
      <c r="H1475" s="433"/>
      <c r="I1475" s="433"/>
      <c r="J1475" s="433"/>
    </row>
    <row r="1476" spans="3:10" x14ac:dyDescent="0.25">
      <c r="C1476" s="433"/>
      <c r="D1476" s="433"/>
      <c r="E1476" s="433"/>
      <c r="F1476" s="433"/>
      <c r="G1476" s="433"/>
      <c r="H1476" s="433"/>
      <c r="I1476" s="433"/>
      <c r="J1476" s="433"/>
    </row>
    <row r="1477" spans="3:10" x14ac:dyDescent="0.25">
      <c r="C1477" s="433"/>
      <c r="D1477" s="433"/>
      <c r="E1477" s="433"/>
      <c r="F1477" s="433"/>
      <c r="G1477" s="433"/>
      <c r="H1477" s="433"/>
      <c r="I1477" s="433"/>
      <c r="J1477" s="433"/>
    </row>
    <row r="1478" spans="3:10" x14ac:dyDescent="0.25">
      <c r="C1478" s="433"/>
      <c r="D1478" s="433"/>
      <c r="E1478" s="433"/>
      <c r="F1478" s="433"/>
      <c r="G1478" s="433"/>
      <c r="H1478" s="433"/>
      <c r="I1478" s="433"/>
      <c r="J1478" s="433"/>
    </row>
    <row r="1479" spans="3:10" x14ac:dyDescent="0.25">
      <c r="C1479" s="433"/>
      <c r="D1479" s="433"/>
      <c r="E1479" s="433"/>
      <c r="F1479" s="433"/>
      <c r="G1479" s="433"/>
      <c r="H1479" s="433"/>
      <c r="I1479" s="433"/>
      <c r="J1479" s="433"/>
    </row>
    <row r="1480" spans="3:10" x14ac:dyDescent="0.25">
      <c r="C1480" s="433"/>
      <c r="D1480" s="433"/>
      <c r="E1480" s="433"/>
      <c r="F1480" s="433"/>
      <c r="G1480" s="433"/>
      <c r="H1480" s="433"/>
      <c r="I1480" s="433"/>
      <c r="J1480" s="433"/>
    </row>
    <row r="1481" spans="3:10" x14ac:dyDescent="0.25">
      <c r="C1481" s="433"/>
      <c r="D1481" s="433"/>
      <c r="E1481" s="433"/>
      <c r="F1481" s="433"/>
      <c r="G1481" s="433"/>
      <c r="H1481" s="433"/>
      <c r="I1481" s="433"/>
      <c r="J1481" s="433"/>
    </row>
    <row r="1482" spans="3:10" x14ac:dyDescent="0.25">
      <c r="C1482" s="433"/>
      <c r="D1482" s="433"/>
      <c r="E1482" s="433"/>
      <c r="F1482" s="433"/>
      <c r="G1482" s="433"/>
      <c r="H1482" s="433"/>
      <c r="I1482" s="433"/>
      <c r="J1482" s="433"/>
    </row>
    <row r="1483" spans="3:10" x14ac:dyDescent="0.25">
      <c r="C1483" s="433"/>
      <c r="D1483" s="433"/>
      <c r="E1483" s="433"/>
      <c r="F1483" s="433"/>
      <c r="G1483" s="433"/>
      <c r="H1483" s="433"/>
      <c r="I1483" s="433"/>
      <c r="J1483" s="433"/>
    </row>
    <row r="1484" spans="3:10" x14ac:dyDescent="0.25">
      <c r="C1484" s="433"/>
      <c r="D1484" s="433"/>
      <c r="E1484" s="433"/>
      <c r="F1484" s="433"/>
      <c r="G1484" s="433"/>
      <c r="H1484" s="433"/>
      <c r="I1484" s="433"/>
      <c r="J1484" s="433"/>
    </row>
    <row r="1485" spans="3:10" x14ac:dyDescent="0.25">
      <c r="C1485" s="433"/>
      <c r="D1485" s="433"/>
      <c r="E1485" s="433"/>
      <c r="F1485" s="433"/>
      <c r="G1485" s="433"/>
      <c r="H1485" s="433"/>
      <c r="I1485" s="433"/>
      <c r="J1485" s="433"/>
    </row>
    <row r="1486" spans="3:10" x14ac:dyDescent="0.25">
      <c r="C1486" s="433"/>
      <c r="D1486" s="433"/>
      <c r="E1486" s="433"/>
      <c r="F1486" s="433"/>
      <c r="G1486" s="433"/>
      <c r="H1486" s="433"/>
      <c r="I1486" s="433"/>
      <c r="J1486" s="433"/>
    </row>
    <row r="1487" spans="3:10" x14ac:dyDescent="0.25">
      <c r="C1487" s="433"/>
      <c r="D1487" s="433"/>
      <c r="E1487" s="433"/>
      <c r="F1487" s="433"/>
      <c r="G1487" s="433"/>
      <c r="H1487" s="433"/>
      <c r="I1487" s="433"/>
      <c r="J1487" s="433"/>
    </row>
    <row r="1488" spans="3:10" x14ac:dyDescent="0.25">
      <c r="C1488" s="433"/>
      <c r="D1488" s="433"/>
      <c r="E1488" s="433"/>
      <c r="F1488" s="433"/>
      <c r="G1488" s="433"/>
      <c r="H1488" s="433"/>
      <c r="I1488" s="433"/>
      <c r="J1488" s="433"/>
    </row>
    <row r="1489" spans="3:10" x14ac:dyDescent="0.25">
      <c r="C1489" s="433"/>
      <c r="D1489" s="433"/>
      <c r="E1489" s="433"/>
      <c r="F1489" s="433"/>
      <c r="G1489" s="433"/>
      <c r="H1489" s="433"/>
      <c r="I1489" s="433"/>
      <c r="J1489" s="433"/>
    </row>
    <row r="1490" spans="3:10" x14ac:dyDescent="0.25">
      <c r="C1490" s="433"/>
      <c r="D1490" s="433"/>
      <c r="E1490" s="433"/>
      <c r="F1490" s="433"/>
      <c r="G1490" s="433"/>
      <c r="H1490" s="433"/>
      <c r="I1490" s="433"/>
      <c r="J1490" s="433"/>
    </row>
    <row r="1491" spans="3:10" x14ac:dyDescent="0.25">
      <c r="C1491" s="433"/>
      <c r="D1491" s="433"/>
      <c r="E1491" s="433"/>
      <c r="F1491" s="433"/>
      <c r="G1491" s="433"/>
      <c r="H1491" s="433"/>
      <c r="I1491" s="433"/>
      <c r="J1491" s="433"/>
    </row>
    <row r="1492" spans="3:10" x14ac:dyDescent="0.25">
      <c r="C1492" s="433"/>
      <c r="D1492" s="433"/>
      <c r="E1492" s="433"/>
      <c r="F1492" s="433"/>
      <c r="G1492" s="433"/>
      <c r="H1492" s="433"/>
      <c r="I1492" s="433"/>
      <c r="J1492" s="433"/>
    </row>
    <row r="1493" spans="3:10" x14ac:dyDescent="0.25">
      <c r="C1493" s="433"/>
      <c r="D1493" s="433"/>
      <c r="E1493" s="433"/>
      <c r="F1493" s="433"/>
      <c r="G1493" s="433"/>
      <c r="H1493" s="433"/>
      <c r="I1493" s="433"/>
      <c r="J1493" s="433"/>
    </row>
    <row r="1494" spans="3:10" x14ac:dyDescent="0.25">
      <c r="C1494" s="433"/>
      <c r="D1494" s="433"/>
      <c r="E1494" s="433"/>
      <c r="F1494" s="433"/>
      <c r="G1494" s="433"/>
      <c r="H1494" s="433"/>
      <c r="I1494" s="433"/>
      <c r="J1494" s="433"/>
    </row>
    <row r="1495" spans="3:10" x14ac:dyDescent="0.25">
      <c r="C1495" s="433"/>
      <c r="D1495" s="433"/>
      <c r="E1495" s="433"/>
      <c r="F1495" s="433"/>
      <c r="G1495" s="433"/>
      <c r="H1495" s="433"/>
      <c r="I1495" s="433"/>
      <c r="J1495" s="433"/>
    </row>
    <row r="1496" spans="3:10" x14ac:dyDescent="0.25">
      <c r="C1496" s="433"/>
      <c r="D1496" s="433"/>
      <c r="E1496" s="433"/>
      <c r="F1496" s="433"/>
      <c r="G1496" s="433"/>
      <c r="H1496" s="433"/>
      <c r="I1496" s="433"/>
      <c r="J1496" s="433"/>
    </row>
    <row r="1497" spans="3:10" x14ac:dyDescent="0.25">
      <c r="C1497" s="433"/>
      <c r="D1497" s="433"/>
      <c r="E1497" s="433"/>
      <c r="F1497" s="433"/>
      <c r="G1497" s="433"/>
      <c r="H1497" s="433"/>
      <c r="I1497" s="433"/>
      <c r="J1497" s="433"/>
    </row>
    <row r="1498" spans="3:10" x14ac:dyDescent="0.25">
      <c r="C1498" s="433"/>
      <c r="D1498" s="433"/>
      <c r="E1498" s="433"/>
      <c r="F1498" s="433"/>
      <c r="G1498" s="433"/>
      <c r="H1498" s="433"/>
      <c r="I1498" s="433"/>
      <c r="J1498" s="433"/>
    </row>
    <row r="1499" spans="3:10" x14ac:dyDescent="0.25">
      <c r="C1499" s="433"/>
      <c r="D1499" s="433"/>
      <c r="E1499" s="433"/>
      <c r="F1499" s="433"/>
      <c r="G1499" s="433"/>
      <c r="H1499" s="433"/>
      <c r="I1499" s="433"/>
      <c r="J1499" s="433"/>
    </row>
    <row r="1500" spans="3:10" x14ac:dyDescent="0.25">
      <c r="C1500" s="433"/>
      <c r="D1500" s="433"/>
      <c r="E1500" s="433"/>
      <c r="F1500" s="433"/>
      <c r="G1500" s="433"/>
      <c r="H1500" s="433"/>
      <c r="I1500" s="433"/>
      <c r="J1500" s="433"/>
    </row>
    <row r="1501" spans="3:10" x14ac:dyDescent="0.25">
      <c r="C1501" s="433"/>
      <c r="D1501" s="433"/>
      <c r="E1501" s="433"/>
      <c r="F1501" s="433"/>
      <c r="G1501" s="433"/>
      <c r="H1501" s="433"/>
      <c r="I1501" s="433"/>
      <c r="J1501" s="433"/>
    </row>
    <row r="1502" spans="3:10" x14ac:dyDescent="0.25">
      <c r="C1502" s="433"/>
      <c r="D1502" s="433"/>
      <c r="E1502" s="433"/>
      <c r="F1502" s="433"/>
      <c r="G1502" s="433"/>
      <c r="H1502" s="433"/>
      <c r="I1502" s="433"/>
      <c r="J1502" s="433"/>
    </row>
    <row r="1503" spans="3:10" x14ac:dyDescent="0.25">
      <c r="C1503" s="433"/>
      <c r="D1503" s="433"/>
      <c r="E1503" s="433"/>
      <c r="F1503" s="433"/>
      <c r="G1503" s="433"/>
      <c r="H1503" s="433"/>
      <c r="I1503" s="433"/>
      <c r="J1503" s="433"/>
    </row>
    <row r="1504" spans="3:10" x14ac:dyDescent="0.25">
      <c r="C1504" s="433"/>
      <c r="D1504" s="433"/>
      <c r="E1504" s="433"/>
      <c r="F1504" s="433"/>
      <c r="G1504" s="433"/>
      <c r="H1504" s="433"/>
      <c r="I1504" s="433"/>
      <c r="J1504" s="433"/>
    </row>
    <row r="1505" spans="3:10" x14ac:dyDescent="0.25">
      <c r="C1505" s="433"/>
      <c r="D1505" s="433"/>
      <c r="E1505" s="433"/>
      <c r="F1505" s="433"/>
      <c r="G1505" s="433"/>
      <c r="H1505" s="433"/>
      <c r="I1505" s="433"/>
      <c r="J1505" s="433"/>
    </row>
    <row r="1506" spans="3:10" x14ac:dyDescent="0.25">
      <c r="C1506" s="433"/>
      <c r="D1506" s="433"/>
      <c r="E1506" s="433"/>
      <c r="F1506" s="433"/>
      <c r="G1506" s="433"/>
      <c r="H1506" s="433"/>
      <c r="I1506" s="433"/>
      <c r="J1506" s="433"/>
    </row>
    <row r="1507" spans="3:10" x14ac:dyDescent="0.25">
      <c r="C1507" s="433"/>
      <c r="D1507" s="433"/>
      <c r="E1507" s="433"/>
      <c r="F1507" s="433"/>
      <c r="G1507" s="433"/>
      <c r="H1507" s="433"/>
      <c r="I1507" s="433"/>
      <c r="J1507" s="433"/>
    </row>
    <row r="1508" spans="3:10" x14ac:dyDescent="0.25">
      <c r="C1508" s="433"/>
      <c r="D1508" s="433"/>
      <c r="E1508" s="433"/>
      <c r="F1508" s="433"/>
      <c r="G1508" s="433"/>
      <c r="H1508" s="433"/>
      <c r="I1508" s="433"/>
      <c r="J1508" s="433"/>
    </row>
    <row r="1509" spans="3:10" x14ac:dyDescent="0.25">
      <c r="C1509" s="433"/>
      <c r="D1509" s="433"/>
      <c r="E1509" s="433"/>
      <c r="F1509" s="433"/>
      <c r="G1509" s="433"/>
      <c r="H1509" s="433"/>
      <c r="I1509" s="433"/>
      <c r="J1509" s="433"/>
    </row>
    <row r="1510" spans="3:10" x14ac:dyDescent="0.25">
      <c r="C1510" s="433"/>
      <c r="D1510" s="433"/>
      <c r="E1510" s="433"/>
      <c r="F1510" s="433"/>
      <c r="G1510" s="433"/>
      <c r="H1510" s="433"/>
      <c r="I1510" s="433"/>
      <c r="J1510" s="433"/>
    </row>
    <row r="1511" spans="3:10" x14ac:dyDescent="0.25">
      <c r="C1511" s="433"/>
      <c r="D1511" s="433"/>
      <c r="E1511" s="433"/>
      <c r="F1511" s="433"/>
      <c r="G1511" s="433"/>
      <c r="H1511" s="433"/>
      <c r="I1511" s="433"/>
      <c r="J1511" s="433"/>
    </row>
    <row r="1512" spans="3:10" x14ac:dyDescent="0.25">
      <c r="C1512" s="433"/>
      <c r="D1512" s="433"/>
      <c r="E1512" s="433"/>
      <c r="F1512" s="433"/>
      <c r="G1512" s="433"/>
      <c r="H1512" s="433"/>
      <c r="I1512" s="433"/>
      <c r="J1512" s="433"/>
    </row>
    <row r="1513" spans="3:10" x14ac:dyDescent="0.25">
      <c r="C1513" s="433"/>
      <c r="D1513" s="433"/>
      <c r="E1513" s="433"/>
      <c r="F1513" s="433"/>
      <c r="G1513" s="433"/>
      <c r="H1513" s="433"/>
      <c r="I1513" s="433"/>
      <c r="J1513" s="433"/>
    </row>
    <row r="1514" spans="3:10" x14ac:dyDescent="0.25">
      <c r="C1514" s="433"/>
      <c r="D1514" s="433"/>
      <c r="E1514" s="433"/>
      <c r="F1514" s="433"/>
      <c r="G1514" s="433"/>
      <c r="H1514" s="433"/>
      <c r="I1514" s="433"/>
      <c r="J1514" s="433"/>
    </row>
    <row r="1515" spans="3:10" x14ac:dyDescent="0.25">
      <c r="C1515" s="433"/>
      <c r="D1515" s="433"/>
      <c r="E1515" s="433"/>
      <c r="F1515" s="433"/>
      <c r="G1515" s="433"/>
      <c r="H1515" s="433"/>
      <c r="I1515" s="433"/>
      <c r="J1515" s="433"/>
    </row>
    <row r="1516" spans="3:10" x14ac:dyDescent="0.25">
      <c r="C1516" s="433"/>
      <c r="D1516" s="433"/>
      <c r="E1516" s="433"/>
      <c r="F1516" s="433"/>
      <c r="G1516" s="433"/>
      <c r="H1516" s="433"/>
      <c r="I1516" s="433"/>
      <c r="J1516" s="433"/>
    </row>
    <row r="1517" spans="3:10" x14ac:dyDescent="0.25">
      <c r="C1517" s="433"/>
      <c r="D1517" s="433"/>
      <c r="E1517" s="433"/>
      <c r="F1517" s="433"/>
      <c r="G1517" s="433"/>
      <c r="H1517" s="433"/>
      <c r="I1517" s="433"/>
      <c r="J1517" s="433"/>
    </row>
    <row r="1518" spans="3:10" x14ac:dyDescent="0.25">
      <c r="C1518" s="433"/>
      <c r="D1518" s="433"/>
      <c r="E1518" s="433"/>
      <c r="F1518" s="433"/>
      <c r="G1518" s="433"/>
      <c r="H1518" s="433"/>
      <c r="I1518" s="433"/>
      <c r="J1518" s="433"/>
    </row>
    <row r="1519" spans="3:10" x14ac:dyDescent="0.25">
      <c r="C1519" s="433"/>
      <c r="D1519" s="433"/>
      <c r="E1519" s="433"/>
      <c r="F1519" s="433"/>
      <c r="G1519" s="433"/>
      <c r="H1519" s="433"/>
      <c r="I1519" s="433"/>
      <c r="J1519" s="433"/>
    </row>
    <row r="1520" spans="3:10" x14ac:dyDescent="0.25">
      <c r="C1520" s="433"/>
      <c r="D1520" s="433"/>
      <c r="E1520" s="433"/>
      <c r="F1520" s="433"/>
      <c r="G1520" s="433"/>
      <c r="H1520" s="433"/>
      <c r="I1520" s="433"/>
      <c r="J1520" s="433"/>
    </row>
    <row r="1521" spans="3:10" x14ac:dyDescent="0.25">
      <c r="C1521" s="433"/>
      <c r="D1521" s="433"/>
      <c r="E1521" s="433"/>
      <c r="F1521" s="433"/>
      <c r="G1521" s="433"/>
      <c r="H1521" s="433"/>
      <c r="I1521" s="433"/>
      <c r="J1521" s="433"/>
    </row>
    <row r="1522" spans="3:10" x14ac:dyDescent="0.25">
      <c r="C1522" s="433"/>
      <c r="D1522" s="433"/>
      <c r="E1522" s="433"/>
      <c r="F1522" s="433"/>
      <c r="G1522" s="433"/>
      <c r="H1522" s="433"/>
      <c r="I1522" s="433"/>
      <c r="J1522" s="433"/>
    </row>
    <row r="1523" spans="3:10" x14ac:dyDescent="0.25">
      <c r="C1523" s="433"/>
      <c r="D1523" s="433"/>
      <c r="E1523" s="433"/>
      <c r="F1523" s="433"/>
      <c r="G1523" s="433"/>
      <c r="H1523" s="433"/>
      <c r="I1523" s="433"/>
      <c r="J1523" s="433"/>
    </row>
    <row r="1524" spans="3:10" x14ac:dyDescent="0.25">
      <c r="C1524" s="433"/>
      <c r="D1524" s="433"/>
      <c r="E1524" s="433"/>
      <c r="F1524" s="433"/>
      <c r="G1524" s="433"/>
      <c r="H1524" s="433"/>
      <c r="I1524" s="433"/>
      <c r="J1524" s="433"/>
    </row>
    <row r="1525" spans="3:10" x14ac:dyDescent="0.25">
      <c r="C1525" s="433"/>
      <c r="D1525" s="433"/>
      <c r="E1525" s="433"/>
      <c r="F1525" s="433"/>
      <c r="G1525" s="433"/>
      <c r="H1525" s="433"/>
      <c r="I1525" s="433"/>
      <c r="J1525" s="433"/>
    </row>
    <row r="1526" spans="3:10" x14ac:dyDescent="0.25">
      <c r="C1526" s="433"/>
      <c r="D1526" s="433"/>
      <c r="E1526" s="433"/>
      <c r="F1526" s="433"/>
      <c r="G1526" s="433"/>
      <c r="H1526" s="433"/>
      <c r="I1526" s="433"/>
      <c r="J1526" s="433"/>
    </row>
    <row r="1527" spans="3:10" x14ac:dyDescent="0.25">
      <c r="C1527" s="433"/>
      <c r="D1527" s="433"/>
      <c r="E1527" s="433"/>
      <c r="F1527" s="433"/>
      <c r="G1527" s="433"/>
      <c r="H1527" s="433"/>
      <c r="I1527" s="433"/>
      <c r="J1527" s="433"/>
    </row>
    <row r="1528" spans="3:10" x14ac:dyDescent="0.25">
      <c r="C1528" s="433"/>
      <c r="D1528" s="433"/>
      <c r="E1528" s="433"/>
      <c r="F1528" s="433"/>
      <c r="G1528" s="433"/>
      <c r="H1528" s="433"/>
      <c r="I1528" s="433"/>
      <c r="J1528" s="433"/>
    </row>
    <row r="1529" spans="3:10" x14ac:dyDescent="0.25">
      <c r="C1529" s="433"/>
      <c r="D1529" s="433"/>
      <c r="E1529" s="433"/>
      <c r="F1529" s="433"/>
      <c r="G1529" s="433"/>
      <c r="H1529" s="433"/>
      <c r="I1529" s="433"/>
      <c r="J1529" s="433"/>
    </row>
    <row r="1530" spans="3:10" x14ac:dyDescent="0.25">
      <c r="C1530" s="433"/>
      <c r="D1530" s="433"/>
      <c r="E1530" s="433"/>
      <c r="F1530" s="433"/>
      <c r="G1530" s="433"/>
      <c r="H1530" s="433"/>
      <c r="I1530" s="433"/>
      <c r="J1530" s="433"/>
    </row>
    <row r="1531" spans="3:10" x14ac:dyDescent="0.25">
      <c r="C1531" s="433"/>
      <c r="D1531" s="433"/>
      <c r="E1531" s="433"/>
      <c r="F1531" s="433"/>
      <c r="G1531" s="433"/>
      <c r="H1531" s="433"/>
      <c r="I1531" s="433"/>
      <c r="J1531" s="433"/>
    </row>
    <row r="1532" spans="3:10" x14ac:dyDescent="0.25">
      <c r="C1532" s="433"/>
      <c r="D1532" s="433"/>
      <c r="E1532" s="433"/>
      <c r="F1532" s="433"/>
      <c r="G1532" s="433"/>
      <c r="H1532" s="433"/>
      <c r="I1532" s="433"/>
      <c r="J1532" s="433"/>
    </row>
    <row r="1533" spans="3:10" x14ac:dyDescent="0.25">
      <c r="C1533" s="433"/>
      <c r="D1533" s="433"/>
      <c r="E1533" s="433"/>
      <c r="F1533" s="433"/>
      <c r="G1533" s="433"/>
      <c r="H1533" s="433"/>
      <c r="I1533" s="433"/>
      <c r="J1533" s="433"/>
    </row>
    <row r="1534" spans="3:10" x14ac:dyDescent="0.25">
      <c r="C1534" s="433"/>
      <c r="D1534" s="433"/>
      <c r="E1534" s="433"/>
      <c r="F1534" s="433"/>
      <c r="G1534" s="433"/>
      <c r="H1534" s="433"/>
      <c r="I1534" s="433"/>
      <c r="J1534" s="433"/>
    </row>
    <row r="1535" spans="3:10" x14ac:dyDescent="0.25">
      <c r="C1535" s="433"/>
      <c r="D1535" s="433"/>
      <c r="E1535" s="433"/>
      <c r="F1535" s="433"/>
      <c r="G1535" s="433"/>
      <c r="H1535" s="433"/>
      <c r="I1535" s="433"/>
      <c r="J1535" s="433"/>
    </row>
    <row r="1536" spans="3:10" x14ac:dyDescent="0.25">
      <c r="C1536" s="433"/>
      <c r="D1536" s="433"/>
      <c r="E1536" s="433"/>
      <c r="F1536" s="433"/>
      <c r="G1536" s="433"/>
      <c r="H1536" s="433"/>
      <c r="I1536" s="433"/>
      <c r="J1536" s="433"/>
    </row>
    <row r="1537" spans="3:10" x14ac:dyDescent="0.25">
      <c r="C1537" s="433"/>
      <c r="D1537" s="433"/>
      <c r="E1537" s="433"/>
      <c r="F1537" s="433"/>
      <c r="G1537" s="433"/>
      <c r="H1537" s="433"/>
      <c r="I1537" s="433"/>
      <c r="J1537" s="433"/>
    </row>
    <row r="1538" spans="3:10" x14ac:dyDescent="0.25">
      <c r="C1538" s="433"/>
      <c r="D1538" s="433"/>
      <c r="E1538" s="433"/>
      <c r="F1538" s="433"/>
      <c r="G1538" s="433"/>
      <c r="H1538" s="433"/>
      <c r="I1538" s="433"/>
      <c r="J1538" s="433"/>
    </row>
    <row r="1539" spans="3:10" x14ac:dyDescent="0.25">
      <c r="C1539" s="433"/>
      <c r="D1539" s="433"/>
      <c r="E1539" s="433"/>
      <c r="F1539" s="433"/>
      <c r="G1539" s="433"/>
      <c r="H1539" s="433"/>
      <c r="I1539" s="433"/>
      <c r="J1539" s="433"/>
    </row>
    <row r="1540" spans="3:10" x14ac:dyDescent="0.25">
      <c r="C1540" s="433"/>
      <c r="D1540" s="433"/>
      <c r="E1540" s="433"/>
      <c r="F1540" s="433"/>
      <c r="G1540" s="433"/>
      <c r="H1540" s="433"/>
      <c r="I1540" s="433"/>
      <c r="J1540" s="433"/>
    </row>
    <row r="1541" spans="3:10" x14ac:dyDescent="0.25">
      <c r="C1541" s="433"/>
      <c r="D1541" s="433"/>
      <c r="E1541" s="433"/>
      <c r="F1541" s="433"/>
      <c r="G1541" s="433"/>
      <c r="H1541" s="433"/>
      <c r="I1541" s="433"/>
      <c r="J1541" s="433"/>
    </row>
    <row r="1542" spans="3:10" x14ac:dyDescent="0.25">
      <c r="C1542" s="433"/>
      <c r="D1542" s="433"/>
      <c r="E1542" s="433"/>
      <c r="F1542" s="433"/>
      <c r="G1542" s="433"/>
      <c r="H1542" s="433"/>
      <c r="I1542" s="433"/>
      <c r="J1542" s="433"/>
    </row>
    <row r="1543" spans="3:10" x14ac:dyDescent="0.25">
      <c r="C1543" s="433"/>
      <c r="D1543" s="433"/>
      <c r="E1543" s="433"/>
      <c r="F1543" s="433"/>
      <c r="G1543" s="433"/>
      <c r="H1543" s="433"/>
      <c r="I1543" s="433"/>
      <c r="J1543" s="433"/>
    </row>
    <row r="1544" spans="3:10" x14ac:dyDescent="0.25">
      <c r="C1544" s="433"/>
      <c r="D1544" s="433"/>
      <c r="E1544" s="433"/>
      <c r="F1544" s="433"/>
      <c r="G1544" s="433"/>
      <c r="H1544" s="433"/>
      <c r="I1544" s="433"/>
      <c r="J1544" s="433"/>
    </row>
    <row r="1545" spans="3:10" x14ac:dyDescent="0.25">
      <c r="C1545" s="433"/>
      <c r="D1545" s="433"/>
      <c r="E1545" s="433"/>
      <c r="F1545" s="433"/>
      <c r="G1545" s="433"/>
      <c r="H1545" s="433"/>
      <c r="I1545" s="433"/>
      <c r="J1545" s="433"/>
    </row>
    <row r="1546" spans="3:10" x14ac:dyDescent="0.25">
      <c r="C1546" s="433"/>
      <c r="D1546" s="433"/>
      <c r="E1546" s="433"/>
      <c r="F1546" s="433"/>
      <c r="G1546" s="433"/>
      <c r="H1546" s="433"/>
      <c r="I1546" s="433"/>
      <c r="J1546" s="433"/>
    </row>
    <row r="1547" spans="3:10" x14ac:dyDescent="0.25">
      <c r="C1547" s="433"/>
      <c r="D1547" s="433"/>
      <c r="E1547" s="433"/>
      <c r="F1547" s="433"/>
      <c r="G1547" s="433"/>
      <c r="H1547" s="433"/>
      <c r="I1547" s="433"/>
      <c r="J1547" s="433"/>
    </row>
    <row r="1548" spans="3:10" x14ac:dyDescent="0.25">
      <c r="C1548" s="433"/>
      <c r="D1548" s="433"/>
      <c r="E1548" s="433"/>
      <c r="F1548" s="433"/>
      <c r="G1548" s="433"/>
      <c r="H1548" s="433"/>
      <c r="I1548" s="433"/>
      <c r="J1548" s="433"/>
    </row>
    <row r="1549" spans="3:10" x14ac:dyDescent="0.25">
      <c r="C1549" s="433"/>
      <c r="D1549" s="433"/>
      <c r="E1549" s="433"/>
      <c r="F1549" s="433"/>
      <c r="G1549" s="433"/>
      <c r="H1549" s="433"/>
      <c r="I1549" s="433"/>
      <c r="J1549" s="433"/>
    </row>
    <row r="1550" spans="3:10" x14ac:dyDescent="0.25">
      <c r="C1550" s="433"/>
      <c r="D1550" s="433"/>
      <c r="E1550" s="433"/>
      <c r="F1550" s="433"/>
      <c r="G1550" s="433"/>
      <c r="H1550" s="433"/>
      <c r="I1550" s="433"/>
      <c r="J1550" s="433"/>
    </row>
    <row r="1551" spans="3:10" x14ac:dyDescent="0.25">
      <c r="C1551" s="433"/>
      <c r="D1551" s="433"/>
      <c r="E1551" s="433"/>
      <c r="F1551" s="433"/>
      <c r="G1551" s="433"/>
      <c r="H1551" s="433"/>
      <c r="I1551" s="433"/>
      <c r="J1551" s="433"/>
    </row>
    <row r="1552" spans="3:10" x14ac:dyDescent="0.25">
      <c r="C1552" s="433"/>
      <c r="D1552" s="433"/>
      <c r="E1552" s="433"/>
      <c r="F1552" s="433"/>
      <c r="G1552" s="433"/>
      <c r="H1552" s="433"/>
      <c r="I1552" s="433"/>
      <c r="J1552" s="433"/>
    </row>
    <row r="1553" spans="3:10" x14ac:dyDescent="0.25">
      <c r="C1553" s="433"/>
      <c r="D1553" s="433"/>
      <c r="E1553" s="433"/>
      <c r="F1553" s="433"/>
      <c r="G1553" s="433"/>
      <c r="H1553" s="433"/>
      <c r="I1553" s="433"/>
      <c r="J1553" s="433"/>
    </row>
    <row r="1554" spans="3:10" x14ac:dyDescent="0.25">
      <c r="C1554" s="433"/>
      <c r="D1554" s="433"/>
      <c r="E1554" s="433"/>
      <c r="F1554" s="433"/>
      <c r="G1554" s="433"/>
      <c r="H1554" s="433"/>
      <c r="I1554" s="433"/>
      <c r="J1554" s="433"/>
    </row>
    <row r="1555" spans="3:10" x14ac:dyDescent="0.25">
      <c r="C1555" s="433"/>
      <c r="D1555" s="433"/>
      <c r="E1555" s="433"/>
      <c r="F1555" s="433"/>
      <c r="G1555" s="433"/>
      <c r="H1555" s="433"/>
      <c r="I1555" s="433"/>
      <c r="J1555" s="433"/>
    </row>
    <row r="1556" spans="3:10" x14ac:dyDescent="0.25">
      <c r="C1556" s="433"/>
      <c r="D1556" s="433"/>
      <c r="E1556" s="433"/>
      <c r="F1556" s="433"/>
      <c r="G1556" s="433"/>
      <c r="H1556" s="433"/>
      <c r="I1556" s="433"/>
      <c r="J1556" s="433"/>
    </row>
    <row r="1557" spans="3:10" x14ac:dyDescent="0.25">
      <c r="C1557" s="433"/>
      <c r="D1557" s="433"/>
      <c r="E1557" s="433"/>
      <c r="F1557" s="433"/>
      <c r="G1557" s="433"/>
      <c r="H1557" s="433"/>
      <c r="I1557" s="433"/>
      <c r="J1557" s="433"/>
    </row>
    <row r="1558" spans="3:10" x14ac:dyDescent="0.25">
      <c r="C1558" s="433"/>
      <c r="D1558" s="433"/>
      <c r="E1558" s="433"/>
      <c r="F1558" s="433"/>
      <c r="G1558" s="433"/>
      <c r="H1558" s="433"/>
      <c r="I1558" s="433"/>
      <c r="J1558" s="433"/>
    </row>
    <row r="1559" spans="3:10" x14ac:dyDescent="0.25">
      <c r="C1559" s="433"/>
      <c r="D1559" s="433"/>
      <c r="E1559" s="433"/>
      <c r="F1559" s="433"/>
      <c r="G1559" s="433"/>
      <c r="H1559" s="433"/>
      <c r="I1559" s="433"/>
      <c r="J1559" s="433"/>
    </row>
    <row r="1560" spans="3:10" x14ac:dyDescent="0.25">
      <c r="C1560" s="433"/>
      <c r="D1560" s="433"/>
      <c r="E1560" s="433"/>
      <c r="F1560" s="433"/>
      <c r="G1560" s="433"/>
      <c r="H1560" s="433"/>
      <c r="I1560" s="433"/>
      <c r="J1560" s="433"/>
    </row>
    <row r="1561" spans="3:10" x14ac:dyDescent="0.25">
      <c r="C1561" s="433"/>
      <c r="D1561" s="433"/>
      <c r="E1561" s="433"/>
      <c r="F1561" s="433"/>
      <c r="G1561" s="433"/>
      <c r="H1561" s="433"/>
      <c r="I1561" s="433"/>
      <c r="J1561" s="433"/>
    </row>
    <row r="1562" spans="3:10" x14ac:dyDescent="0.25">
      <c r="C1562" s="433"/>
      <c r="D1562" s="433"/>
      <c r="E1562" s="433"/>
      <c r="F1562" s="433"/>
      <c r="G1562" s="433"/>
      <c r="H1562" s="433"/>
      <c r="I1562" s="433"/>
      <c r="J1562" s="433"/>
    </row>
    <row r="1563" spans="3:10" x14ac:dyDescent="0.25">
      <c r="C1563" s="433"/>
      <c r="D1563" s="433"/>
      <c r="E1563" s="433"/>
      <c r="F1563" s="433"/>
      <c r="G1563" s="433"/>
      <c r="H1563" s="433"/>
      <c r="I1563" s="433"/>
      <c r="J1563" s="433"/>
    </row>
    <row r="1564" spans="3:10" x14ac:dyDescent="0.25">
      <c r="C1564" s="433"/>
      <c r="D1564" s="433"/>
      <c r="E1564" s="433"/>
      <c r="F1564" s="433"/>
      <c r="G1564" s="433"/>
      <c r="H1564" s="433"/>
      <c r="I1564" s="433"/>
      <c r="J1564" s="433"/>
    </row>
    <row r="1565" spans="3:10" x14ac:dyDescent="0.25">
      <c r="C1565" s="433"/>
      <c r="D1565" s="433"/>
      <c r="E1565" s="433"/>
      <c r="F1565" s="433"/>
      <c r="G1565" s="433"/>
      <c r="H1565" s="433"/>
      <c r="I1565" s="433"/>
      <c r="J1565" s="433"/>
    </row>
    <row r="1566" spans="3:10" x14ac:dyDescent="0.25">
      <c r="C1566" s="433"/>
      <c r="D1566" s="433"/>
      <c r="E1566" s="433"/>
      <c r="F1566" s="433"/>
      <c r="G1566" s="433"/>
      <c r="H1566" s="433"/>
      <c r="I1566" s="433"/>
      <c r="J1566" s="433"/>
    </row>
    <row r="1567" spans="3:10" x14ac:dyDescent="0.25">
      <c r="C1567" s="433"/>
      <c r="D1567" s="433"/>
      <c r="E1567" s="433"/>
      <c r="F1567" s="433"/>
      <c r="G1567" s="433"/>
      <c r="H1567" s="433"/>
      <c r="I1567" s="433"/>
      <c r="J1567" s="433"/>
    </row>
    <row r="1568" spans="3:10" x14ac:dyDescent="0.25">
      <c r="C1568" s="433"/>
      <c r="D1568" s="433"/>
      <c r="E1568" s="433"/>
      <c r="F1568" s="433"/>
      <c r="G1568" s="433"/>
      <c r="H1568" s="433"/>
      <c r="I1568" s="433"/>
      <c r="J1568" s="433"/>
    </row>
    <row r="1569" spans="3:10" x14ac:dyDescent="0.25">
      <c r="C1569" s="433"/>
      <c r="D1569" s="433"/>
      <c r="E1569" s="433"/>
      <c r="F1569" s="433"/>
      <c r="G1569" s="433"/>
      <c r="H1569" s="433"/>
      <c r="I1569" s="433"/>
      <c r="J1569" s="433"/>
    </row>
    <row r="1570" spans="3:10" x14ac:dyDescent="0.25">
      <c r="C1570" s="433"/>
      <c r="D1570" s="433"/>
      <c r="E1570" s="433"/>
      <c r="F1570" s="433"/>
      <c r="G1570" s="433"/>
      <c r="H1570" s="433"/>
      <c r="I1570" s="433"/>
      <c r="J1570" s="433"/>
    </row>
    <row r="1571" spans="3:10" x14ac:dyDescent="0.25">
      <c r="C1571" s="433"/>
      <c r="D1571" s="433"/>
      <c r="E1571" s="433"/>
      <c r="F1571" s="433"/>
      <c r="G1571" s="433"/>
      <c r="H1571" s="433"/>
      <c r="I1571" s="433"/>
      <c r="J1571" s="433"/>
    </row>
    <row r="1572" spans="3:10" x14ac:dyDescent="0.25">
      <c r="C1572" s="433"/>
      <c r="D1572" s="433"/>
      <c r="E1572" s="433"/>
      <c r="F1572" s="433"/>
      <c r="G1572" s="433"/>
      <c r="H1572" s="433"/>
      <c r="I1572" s="433"/>
      <c r="J1572" s="433"/>
    </row>
    <row r="1573" spans="3:10" x14ac:dyDescent="0.25">
      <c r="C1573" s="433"/>
      <c r="D1573" s="433"/>
      <c r="E1573" s="433"/>
      <c r="F1573" s="433"/>
      <c r="G1573" s="433"/>
      <c r="H1573" s="433"/>
      <c r="I1573" s="433"/>
      <c r="J1573" s="433"/>
    </row>
    <row r="1574" spans="3:10" x14ac:dyDescent="0.25">
      <c r="C1574" s="433"/>
      <c r="D1574" s="433"/>
      <c r="E1574" s="433"/>
      <c r="F1574" s="433"/>
      <c r="G1574" s="433"/>
      <c r="H1574" s="433"/>
      <c r="I1574" s="433"/>
      <c r="J1574" s="433"/>
    </row>
    <row r="1575" spans="3:10" x14ac:dyDescent="0.25">
      <c r="C1575" s="433"/>
      <c r="D1575" s="433"/>
      <c r="E1575" s="433"/>
      <c r="F1575" s="433"/>
      <c r="G1575" s="433"/>
      <c r="H1575" s="433"/>
      <c r="I1575" s="433"/>
      <c r="J1575" s="433"/>
    </row>
    <row r="1576" spans="3:10" x14ac:dyDescent="0.25">
      <c r="C1576" s="433"/>
      <c r="D1576" s="433"/>
      <c r="E1576" s="433"/>
      <c r="F1576" s="433"/>
      <c r="G1576" s="433"/>
      <c r="H1576" s="433"/>
      <c r="I1576" s="433"/>
      <c r="J1576" s="433"/>
    </row>
    <row r="1577" spans="3:10" x14ac:dyDescent="0.25">
      <c r="C1577" s="433"/>
      <c r="D1577" s="433"/>
      <c r="E1577" s="433"/>
      <c r="F1577" s="433"/>
      <c r="G1577" s="433"/>
      <c r="H1577" s="433"/>
      <c r="I1577" s="433"/>
      <c r="J1577" s="433"/>
    </row>
    <row r="1578" spans="3:10" x14ac:dyDescent="0.25">
      <c r="C1578" s="433"/>
      <c r="D1578" s="433"/>
      <c r="E1578" s="433"/>
      <c r="F1578" s="433"/>
      <c r="G1578" s="433"/>
      <c r="H1578" s="433"/>
      <c r="I1578" s="433"/>
      <c r="J1578" s="433"/>
    </row>
    <row r="1579" spans="3:10" x14ac:dyDescent="0.25">
      <c r="C1579" s="433"/>
      <c r="D1579" s="433"/>
      <c r="E1579" s="433"/>
      <c r="F1579" s="433"/>
      <c r="G1579" s="433"/>
      <c r="H1579" s="433"/>
      <c r="I1579" s="433"/>
      <c r="J1579" s="433"/>
    </row>
    <row r="1580" spans="3:10" x14ac:dyDescent="0.25">
      <c r="C1580" s="433"/>
      <c r="D1580" s="433"/>
      <c r="E1580" s="433"/>
      <c r="F1580" s="433"/>
      <c r="G1580" s="433"/>
      <c r="H1580" s="433"/>
      <c r="I1580" s="433"/>
      <c r="J1580" s="433"/>
    </row>
    <row r="1581" spans="3:10" x14ac:dyDescent="0.25">
      <c r="C1581" s="433"/>
      <c r="D1581" s="433"/>
      <c r="E1581" s="433"/>
      <c r="F1581" s="433"/>
      <c r="G1581" s="433"/>
      <c r="H1581" s="433"/>
      <c r="I1581" s="433"/>
      <c r="J1581" s="433"/>
    </row>
    <row r="1582" spans="3:10" x14ac:dyDescent="0.25">
      <c r="C1582" s="433"/>
      <c r="D1582" s="433"/>
      <c r="E1582" s="433"/>
      <c r="F1582" s="433"/>
      <c r="G1582" s="433"/>
      <c r="H1582" s="433"/>
      <c r="I1582" s="433"/>
      <c r="J1582" s="433"/>
    </row>
    <row r="1583" spans="3:10" x14ac:dyDescent="0.25">
      <c r="C1583" s="433"/>
      <c r="D1583" s="433"/>
      <c r="E1583" s="433"/>
      <c r="F1583" s="433"/>
      <c r="G1583" s="433"/>
      <c r="H1583" s="433"/>
      <c r="I1583" s="433"/>
      <c r="J1583" s="433"/>
    </row>
    <row r="1584" spans="3:10" x14ac:dyDescent="0.25">
      <c r="C1584" s="433"/>
      <c r="D1584" s="433"/>
      <c r="E1584" s="433"/>
      <c r="F1584" s="433"/>
      <c r="G1584" s="433"/>
      <c r="H1584" s="433"/>
      <c r="I1584" s="433"/>
      <c r="J1584" s="433"/>
    </row>
    <row r="1585" spans="3:10" x14ac:dyDescent="0.25">
      <c r="C1585" s="433"/>
      <c r="D1585" s="433"/>
      <c r="E1585" s="433"/>
      <c r="F1585" s="433"/>
      <c r="G1585" s="433"/>
      <c r="H1585" s="433"/>
      <c r="I1585" s="433"/>
      <c r="J1585" s="433"/>
    </row>
    <row r="1586" spans="3:10" x14ac:dyDescent="0.25">
      <c r="C1586" s="433"/>
      <c r="D1586" s="433"/>
      <c r="E1586" s="433"/>
      <c r="F1586" s="433"/>
      <c r="G1586" s="433"/>
      <c r="H1586" s="433"/>
      <c r="I1586" s="433"/>
      <c r="J1586" s="433"/>
    </row>
    <row r="1587" spans="3:10" x14ac:dyDescent="0.25">
      <c r="C1587" s="433"/>
      <c r="D1587" s="433"/>
      <c r="E1587" s="433"/>
      <c r="F1587" s="433"/>
      <c r="G1587" s="433"/>
      <c r="H1587" s="433"/>
      <c r="I1587" s="433"/>
      <c r="J1587" s="433"/>
    </row>
    <row r="1588" spans="3:10" x14ac:dyDescent="0.25">
      <c r="C1588" s="433"/>
      <c r="D1588" s="433"/>
      <c r="E1588" s="433"/>
      <c r="F1588" s="433"/>
      <c r="G1588" s="433"/>
      <c r="H1588" s="433"/>
      <c r="I1588" s="433"/>
      <c r="J1588" s="433"/>
    </row>
    <row r="1589" spans="3:10" x14ac:dyDescent="0.25">
      <c r="C1589" s="433"/>
      <c r="D1589" s="433"/>
      <c r="E1589" s="433"/>
      <c r="F1589" s="433"/>
      <c r="G1589" s="433"/>
      <c r="H1589" s="433"/>
      <c r="I1589" s="433"/>
      <c r="J1589" s="433"/>
    </row>
    <row r="1590" spans="3:10" x14ac:dyDescent="0.25">
      <c r="C1590" s="433"/>
      <c r="D1590" s="433"/>
      <c r="E1590" s="433"/>
      <c r="F1590" s="433"/>
      <c r="G1590" s="433"/>
      <c r="H1590" s="433"/>
      <c r="I1590" s="433"/>
      <c r="J1590" s="433"/>
    </row>
    <row r="1591" spans="3:10" x14ac:dyDescent="0.25">
      <c r="C1591" s="433"/>
      <c r="D1591" s="433"/>
      <c r="E1591" s="433"/>
      <c r="F1591" s="433"/>
      <c r="G1591" s="433"/>
      <c r="H1591" s="433"/>
      <c r="I1591" s="433"/>
      <c r="J1591" s="433"/>
    </row>
    <row r="1592" spans="3:10" x14ac:dyDescent="0.25">
      <c r="C1592" s="433"/>
      <c r="D1592" s="433"/>
      <c r="E1592" s="433"/>
      <c r="F1592" s="433"/>
      <c r="G1592" s="433"/>
      <c r="H1592" s="433"/>
      <c r="I1592" s="433"/>
      <c r="J1592" s="433"/>
    </row>
    <row r="1593" spans="3:10" x14ac:dyDescent="0.25">
      <c r="C1593" s="433"/>
      <c r="D1593" s="433"/>
      <c r="E1593" s="433"/>
      <c r="F1593" s="433"/>
      <c r="G1593" s="433"/>
      <c r="H1593" s="433"/>
      <c r="I1593" s="433"/>
      <c r="J1593" s="433"/>
    </row>
    <row r="1594" spans="3:10" x14ac:dyDescent="0.25">
      <c r="C1594" s="433"/>
      <c r="D1594" s="433"/>
      <c r="E1594" s="433"/>
      <c r="F1594" s="433"/>
      <c r="G1594" s="433"/>
      <c r="H1594" s="433"/>
      <c r="I1594" s="433"/>
      <c r="J1594" s="433"/>
    </row>
    <row r="1595" spans="3:10" x14ac:dyDescent="0.25">
      <c r="C1595" s="433"/>
      <c r="D1595" s="433"/>
      <c r="E1595" s="433"/>
      <c r="F1595" s="433"/>
      <c r="G1595" s="433"/>
      <c r="H1595" s="433"/>
      <c r="I1595" s="433"/>
      <c r="J1595" s="433"/>
    </row>
    <row r="1596" spans="3:10" x14ac:dyDescent="0.25">
      <c r="C1596" s="433"/>
      <c r="D1596" s="433"/>
      <c r="E1596" s="433"/>
      <c r="F1596" s="433"/>
      <c r="G1596" s="433"/>
      <c r="H1596" s="433"/>
      <c r="I1596" s="433"/>
      <c r="J1596" s="433"/>
    </row>
    <row r="1597" spans="3:10" x14ac:dyDescent="0.25">
      <c r="C1597" s="433"/>
      <c r="D1597" s="433"/>
      <c r="E1597" s="433"/>
      <c r="F1597" s="433"/>
      <c r="G1597" s="433"/>
      <c r="H1597" s="433"/>
      <c r="I1597" s="433"/>
      <c r="J1597" s="433"/>
    </row>
    <row r="1598" spans="3:10" x14ac:dyDescent="0.25">
      <c r="C1598" s="433"/>
      <c r="D1598" s="433"/>
      <c r="E1598" s="433"/>
      <c r="F1598" s="433"/>
      <c r="G1598" s="433"/>
      <c r="H1598" s="433"/>
      <c r="I1598" s="433"/>
      <c r="J1598" s="433"/>
    </row>
    <row r="1599" spans="3:10" x14ac:dyDescent="0.25">
      <c r="C1599" s="433"/>
      <c r="D1599" s="433"/>
      <c r="E1599" s="433"/>
      <c r="F1599" s="433"/>
      <c r="G1599" s="433"/>
      <c r="H1599" s="433"/>
      <c r="I1599" s="433"/>
      <c r="J1599" s="433"/>
    </row>
    <row r="1600" spans="3:10" x14ac:dyDescent="0.25">
      <c r="C1600" s="433"/>
      <c r="D1600" s="433"/>
      <c r="E1600" s="433"/>
      <c r="F1600" s="433"/>
      <c r="G1600" s="433"/>
      <c r="H1600" s="433"/>
      <c r="I1600" s="433"/>
      <c r="J1600" s="433"/>
    </row>
    <row r="1601" spans="3:10" x14ac:dyDescent="0.25">
      <c r="C1601" s="433"/>
      <c r="D1601" s="433"/>
      <c r="E1601" s="433"/>
      <c r="F1601" s="433"/>
      <c r="G1601" s="433"/>
      <c r="H1601" s="433"/>
      <c r="I1601" s="433"/>
      <c r="J1601" s="433"/>
    </row>
    <row r="1602" spans="3:10" x14ac:dyDescent="0.25">
      <c r="C1602" s="433"/>
      <c r="D1602" s="433"/>
      <c r="E1602" s="433"/>
      <c r="F1602" s="433"/>
      <c r="G1602" s="433"/>
      <c r="H1602" s="433"/>
      <c r="I1602" s="433"/>
      <c r="J1602" s="433"/>
    </row>
    <row r="1603" spans="3:10" x14ac:dyDescent="0.25">
      <c r="C1603" s="433"/>
      <c r="D1603" s="433"/>
      <c r="E1603" s="433"/>
      <c r="F1603" s="433"/>
      <c r="G1603" s="433"/>
      <c r="H1603" s="433"/>
      <c r="I1603" s="433"/>
      <c r="J1603" s="433"/>
    </row>
    <row r="1604" spans="3:10" x14ac:dyDescent="0.25">
      <c r="C1604" s="433"/>
      <c r="D1604" s="433"/>
      <c r="E1604" s="433"/>
      <c r="F1604" s="433"/>
      <c r="G1604" s="433"/>
      <c r="H1604" s="433"/>
      <c r="I1604" s="433"/>
      <c r="J1604" s="433"/>
    </row>
    <row r="1605" spans="3:10" x14ac:dyDescent="0.25">
      <c r="C1605" s="433"/>
      <c r="D1605" s="433"/>
      <c r="E1605" s="433"/>
      <c r="F1605" s="433"/>
      <c r="G1605" s="433"/>
      <c r="H1605" s="433"/>
      <c r="I1605" s="433"/>
      <c r="J1605" s="433"/>
    </row>
    <row r="1606" spans="3:10" x14ac:dyDescent="0.25">
      <c r="C1606" s="433"/>
      <c r="D1606" s="433"/>
      <c r="E1606" s="433"/>
      <c r="F1606" s="433"/>
      <c r="G1606" s="433"/>
      <c r="H1606" s="433"/>
      <c r="I1606" s="433"/>
      <c r="J1606" s="433"/>
    </row>
    <row r="1607" spans="3:10" x14ac:dyDescent="0.25">
      <c r="C1607" s="433"/>
      <c r="D1607" s="433"/>
      <c r="E1607" s="433"/>
      <c r="F1607" s="433"/>
      <c r="G1607" s="433"/>
      <c r="H1607" s="433"/>
      <c r="I1607" s="433"/>
      <c r="J1607" s="433"/>
    </row>
    <row r="1608" spans="3:10" x14ac:dyDescent="0.25">
      <c r="C1608" s="433"/>
      <c r="D1608" s="433"/>
      <c r="E1608" s="433"/>
      <c r="F1608" s="433"/>
      <c r="G1608" s="433"/>
      <c r="H1608" s="433"/>
      <c r="I1608" s="433"/>
      <c r="J1608" s="433"/>
    </row>
    <row r="1609" spans="3:10" x14ac:dyDescent="0.25">
      <c r="C1609" s="433"/>
      <c r="D1609" s="433"/>
      <c r="E1609" s="433"/>
      <c r="F1609" s="433"/>
      <c r="G1609" s="433"/>
      <c r="H1609" s="433"/>
      <c r="I1609" s="433"/>
      <c r="J1609" s="433"/>
    </row>
    <row r="1610" spans="3:10" x14ac:dyDescent="0.25">
      <c r="C1610" s="433"/>
      <c r="D1610" s="433"/>
      <c r="E1610" s="433"/>
      <c r="F1610" s="433"/>
      <c r="G1610" s="433"/>
      <c r="H1610" s="433"/>
      <c r="I1610" s="433"/>
      <c r="J1610" s="433"/>
    </row>
    <row r="1611" spans="3:10" x14ac:dyDescent="0.25">
      <c r="C1611" s="433"/>
      <c r="D1611" s="433"/>
      <c r="E1611" s="433"/>
      <c r="F1611" s="433"/>
      <c r="G1611" s="433"/>
      <c r="H1611" s="433"/>
      <c r="I1611" s="433"/>
      <c r="J1611" s="433"/>
    </row>
    <row r="1612" spans="3:10" x14ac:dyDescent="0.25">
      <c r="C1612" s="433"/>
      <c r="D1612" s="433"/>
      <c r="E1612" s="433"/>
      <c r="F1612" s="433"/>
      <c r="G1612" s="433"/>
      <c r="H1612" s="433"/>
      <c r="I1612" s="433"/>
      <c r="J1612" s="433"/>
    </row>
    <row r="1613" spans="3:10" x14ac:dyDescent="0.25">
      <c r="C1613" s="433"/>
      <c r="D1613" s="433"/>
      <c r="E1613" s="433"/>
      <c r="F1613" s="433"/>
      <c r="G1613" s="433"/>
      <c r="H1613" s="433"/>
      <c r="I1613" s="433"/>
      <c r="J1613" s="433"/>
    </row>
    <row r="1614" spans="3:10" x14ac:dyDescent="0.25">
      <c r="C1614" s="433"/>
      <c r="D1614" s="433"/>
      <c r="E1614" s="433"/>
      <c r="F1614" s="433"/>
      <c r="G1614" s="433"/>
      <c r="H1614" s="433"/>
      <c r="I1614" s="433"/>
      <c r="J1614" s="433"/>
    </row>
    <row r="1615" spans="3:10" x14ac:dyDescent="0.25">
      <c r="C1615" s="433"/>
      <c r="D1615" s="433"/>
      <c r="E1615" s="433"/>
      <c r="F1615" s="433"/>
      <c r="G1615" s="433"/>
      <c r="H1615" s="433"/>
      <c r="I1615" s="433"/>
      <c r="J1615" s="433"/>
    </row>
    <row r="1616" spans="3:10" x14ac:dyDescent="0.25">
      <c r="C1616" s="433"/>
      <c r="D1616" s="433"/>
      <c r="E1616" s="433"/>
      <c r="F1616" s="433"/>
      <c r="G1616" s="433"/>
      <c r="H1616" s="433"/>
      <c r="I1616" s="433"/>
      <c r="J1616" s="433"/>
    </row>
    <row r="1617" spans="3:10" x14ac:dyDescent="0.25">
      <c r="C1617" s="433"/>
      <c r="D1617" s="433"/>
      <c r="E1617" s="433"/>
      <c r="F1617" s="433"/>
      <c r="G1617" s="433"/>
      <c r="H1617" s="433"/>
      <c r="I1617" s="433"/>
      <c r="J1617" s="433"/>
    </row>
    <row r="1618" spans="3:10" x14ac:dyDescent="0.25">
      <c r="C1618" s="433"/>
      <c r="D1618" s="433"/>
      <c r="E1618" s="433"/>
      <c r="F1618" s="433"/>
      <c r="G1618" s="433"/>
      <c r="H1618" s="433"/>
      <c r="I1618" s="433"/>
      <c r="J1618" s="433"/>
    </row>
    <row r="1619" spans="3:10" x14ac:dyDescent="0.25">
      <c r="C1619" s="433"/>
      <c r="D1619" s="433"/>
      <c r="E1619" s="433"/>
      <c r="F1619" s="433"/>
      <c r="G1619" s="433"/>
      <c r="H1619" s="433"/>
      <c r="I1619" s="433"/>
      <c r="J1619" s="433"/>
    </row>
    <row r="1620" spans="3:10" x14ac:dyDescent="0.25">
      <c r="C1620" s="433"/>
      <c r="D1620" s="433"/>
      <c r="E1620" s="433"/>
      <c r="F1620" s="433"/>
      <c r="G1620" s="433"/>
      <c r="H1620" s="433"/>
      <c r="I1620" s="433"/>
      <c r="J1620" s="433"/>
    </row>
    <row r="1621" spans="3:10" x14ac:dyDescent="0.25">
      <c r="C1621" s="433"/>
      <c r="D1621" s="433"/>
      <c r="E1621" s="433"/>
      <c r="F1621" s="433"/>
      <c r="G1621" s="433"/>
      <c r="H1621" s="433"/>
      <c r="I1621" s="433"/>
      <c r="J1621" s="433"/>
    </row>
    <row r="1622" spans="3:10" x14ac:dyDescent="0.25">
      <c r="C1622" s="433"/>
      <c r="D1622" s="433"/>
      <c r="E1622" s="433"/>
      <c r="F1622" s="433"/>
      <c r="G1622" s="433"/>
      <c r="H1622" s="433"/>
      <c r="I1622" s="433"/>
      <c r="J1622" s="433"/>
    </row>
    <row r="1623" spans="3:10" x14ac:dyDescent="0.25">
      <c r="C1623" s="433"/>
      <c r="D1623" s="433"/>
      <c r="E1623" s="433"/>
      <c r="F1623" s="433"/>
      <c r="G1623" s="433"/>
      <c r="H1623" s="433"/>
      <c r="I1623" s="433"/>
      <c r="J1623" s="433"/>
    </row>
    <row r="1624" spans="3:10" x14ac:dyDescent="0.25">
      <c r="C1624" s="433"/>
      <c r="D1624" s="433"/>
      <c r="E1624" s="433"/>
      <c r="F1624" s="433"/>
      <c r="G1624" s="433"/>
      <c r="H1624" s="433"/>
      <c r="I1624" s="433"/>
      <c r="J1624" s="433"/>
    </row>
    <row r="1625" spans="3:10" x14ac:dyDescent="0.25">
      <c r="C1625" s="433"/>
      <c r="D1625" s="433"/>
      <c r="E1625" s="433"/>
      <c r="F1625" s="433"/>
      <c r="G1625" s="433"/>
      <c r="H1625" s="433"/>
      <c r="I1625" s="433"/>
      <c r="J1625" s="433"/>
    </row>
    <row r="1626" spans="3:10" x14ac:dyDescent="0.25">
      <c r="C1626" s="433"/>
      <c r="D1626" s="433"/>
      <c r="E1626" s="433"/>
      <c r="F1626" s="433"/>
      <c r="G1626" s="433"/>
      <c r="H1626" s="433"/>
      <c r="I1626" s="433"/>
      <c r="J1626" s="433"/>
    </row>
    <row r="1627" spans="3:10" x14ac:dyDescent="0.25">
      <c r="C1627" s="433"/>
      <c r="D1627" s="433"/>
      <c r="E1627" s="433"/>
      <c r="F1627" s="433"/>
      <c r="G1627" s="433"/>
      <c r="H1627" s="433"/>
      <c r="I1627" s="433"/>
      <c r="J1627" s="433"/>
    </row>
    <row r="1628" spans="3:10" x14ac:dyDescent="0.25">
      <c r="C1628" s="433"/>
      <c r="D1628" s="433"/>
      <c r="E1628" s="433"/>
      <c r="F1628" s="433"/>
      <c r="G1628" s="433"/>
      <c r="H1628" s="433"/>
      <c r="I1628" s="433"/>
      <c r="J1628" s="433"/>
    </row>
    <row r="1629" spans="3:10" x14ac:dyDescent="0.25">
      <c r="C1629" s="433"/>
      <c r="D1629" s="433"/>
      <c r="E1629" s="433"/>
      <c r="F1629" s="433"/>
      <c r="G1629" s="433"/>
      <c r="H1629" s="433"/>
      <c r="I1629" s="433"/>
      <c r="J1629" s="433"/>
    </row>
    <row r="1630" spans="3:10" x14ac:dyDescent="0.25">
      <c r="C1630" s="433"/>
      <c r="D1630" s="433"/>
      <c r="E1630" s="433"/>
      <c r="F1630" s="433"/>
      <c r="G1630" s="433"/>
      <c r="H1630" s="433"/>
      <c r="I1630" s="433"/>
      <c r="J1630" s="433"/>
    </row>
    <row r="1631" spans="3:10" x14ac:dyDescent="0.25">
      <c r="C1631" s="433"/>
      <c r="D1631" s="433"/>
      <c r="E1631" s="433"/>
      <c r="F1631" s="433"/>
      <c r="G1631" s="433"/>
      <c r="H1631" s="433"/>
      <c r="I1631" s="433"/>
      <c r="J1631" s="433"/>
    </row>
    <row r="1632" spans="3:10" x14ac:dyDescent="0.25">
      <c r="C1632" s="433"/>
      <c r="D1632" s="433"/>
      <c r="E1632" s="433"/>
      <c r="F1632" s="433"/>
      <c r="G1632" s="433"/>
      <c r="H1632" s="433"/>
      <c r="I1632" s="433"/>
      <c r="J1632" s="433"/>
    </row>
    <row r="1633" spans="3:10" x14ac:dyDescent="0.25">
      <c r="C1633" s="433"/>
      <c r="D1633" s="433"/>
      <c r="E1633" s="433"/>
      <c r="F1633" s="433"/>
      <c r="G1633" s="433"/>
      <c r="H1633" s="433"/>
      <c r="I1633" s="433"/>
      <c r="J1633" s="433"/>
    </row>
    <row r="1634" spans="3:10" x14ac:dyDescent="0.25">
      <c r="C1634" s="433"/>
      <c r="D1634" s="433"/>
      <c r="E1634" s="433"/>
      <c r="F1634" s="433"/>
      <c r="G1634" s="433"/>
      <c r="H1634" s="433"/>
      <c r="I1634" s="433"/>
      <c r="J1634" s="433"/>
    </row>
    <row r="1635" spans="3:10" x14ac:dyDescent="0.25">
      <c r="C1635" s="433"/>
      <c r="D1635" s="433"/>
      <c r="E1635" s="433"/>
      <c r="F1635" s="433"/>
      <c r="G1635" s="433"/>
      <c r="H1635" s="433"/>
      <c r="I1635" s="433"/>
      <c r="J1635" s="433"/>
    </row>
    <row r="1636" spans="3:10" x14ac:dyDescent="0.25">
      <c r="C1636" s="433"/>
      <c r="D1636" s="433"/>
      <c r="E1636" s="433"/>
      <c r="F1636" s="433"/>
      <c r="G1636" s="433"/>
      <c r="H1636" s="433"/>
      <c r="I1636" s="433"/>
      <c r="J1636" s="433"/>
    </row>
    <row r="1637" spans="3:10" x14ac:dyDescent="0.25">
      <c r="C1637" s="433"/>
      <c r="D1637" s="433"/>
      <c r="E1637" s="433"/>
      <c r="F1637" s="433"/>
      <c r="G1637" s="433"/>
      <c r="H1637" s="433"/>
      <c r="I1637" s="433"/>
      <c r="J1637" s="433"/>
    </row>
    <row r="1638" spans="3:10" x14ac:dyDescent="0.25">
      <c r="C1638" s="433"/>
      <c r="D1638" s="433"/>
      <c r="E1638" s="433"/>
      <c r="F1638" s="433"/>
      <c r="G1638" s="433"/>
      <c r="H1638" s="433"/>
      <c r="I1638" s="433"/>
      <c r="J1638" s="433"/>
    </row>
    <row r="1639" spans="3:10" x14ac:dyDescent="0.25">
      <c r="C1639" s="433"/>
      <c r="D1639" s="433"/>
      <c r="E1639" s="433"/>
      <c r="F1639" s="433"/>
      <c r="G1639" s="433"/>
      <c r="H1639" s="433"/>
      <c r="I1639" s="433"/>
      <c r="J1639" s="433"/>
    </row>
    <row r="1640" spans="3:10" x14ac:dyDescent="0.25">
      <c r="C1640" s="433"/>
      <c r="D1640" s="433"/>
      <c r="E1640" s="433"/>
      <c r="F1640" s="433"/>
      <c r="G1640" s="433"/>
      <c r="H1640" s="433"/>
      <c r="I1640" s="433"/>
      <c r="J1640" s="433"/>
    </row>
    <row r="1641" spans="3:10" x14ac:dyDescent="0.25">
      <c r="C1641" s="433"/>
      <c r="D1641" s="433"/>
      <c r="E1641" s="433"/>
      <c r="F1641" s="433"/>
      <c r="G1641" s="433"/>
      <c r="H1641" s="433"/>
      <c r="I1641" s="433"/>
      <c r="J1641" s="433"/>
    </row>
    <row r="1642" spans="3:10" x14ac:dyDescent="0.25">
      <c r="C1642" s="433"/>
      <c r="D1642" s="433"/>
      <c r="E1642" s="433"/>
      <c r="F1642" s="433"/>
      <c r="G1642" s="433"/>
      <c r="H1642" s="433"/>
      <c r="I1642" s="433"/>
      <c r="J1642" s="433"/>
    </row>
    <row r="1643" spans="3:10" x14ac:dyDescent="0.25">
      <c r="C1643" s="433"/>
      <c r="D1643" s="433"/>
      <c r="E1643" s="433"/>
      <c r="F1643" s="433"/>
      <c r="G1643" s="433"/>
      <c r="H1643" s="433"/>
      <c r="I1643" s="433"/>
      <c r="J1643" s="433"/>
    </row>
    <row r="1644" spans="3:10" x14ac:dyDescent="0.25">
      <c r="C1644" s="433"/>
      <c r="D1644" s="433"/>
      <c r="E1644" s="433"/>
      <c r="F1644" s="433"/>
      <c r="G1644" s="433"/>
      <c r="H1644" s="433"/>
      <c r="I1644" s="433"/>
      <c r="J1644" s="433"/>
    </row>
    <row r="1645" spans="3:10" x14ac:dyDescent="0.25">
      <c r="C1645" s="433"/>
      <c r="D1645" s="433"/>
      <c r="E1645" s="433"/>
      <c r="F1645" s="433"/>
      <c r="G1645" s="433"/>
      <c r="H1645" s="433"/>
      <c r="I1645" s="433"/>
      <c r="J1645" s="433"/>
    </row>
    <row r="1646" spans="3:10" x14ac:dyDescent="0.25">
      <c r="C1646" s="433"/>
      <c r="D1646" s="433"/>
      <c r="E1646" s="433"/>
      <c r="F1646" s="433"/>
      <c r="G1646" s="433"/>
      <c r="H1646" s="433"/>
      <c r="I1646" s="433"/>
      <c r="J1646" s="433"/>
    </row>
    <row r="1647" spans="3:10" x14ac:dyDescent="0.25">
      <c r="C1647" s="433"/>
      <c r="D1647" s="433"/>
      <c r="E1647" s="433"/>
      <c r="F1647" s="433"/>
      <c r="G1647" s="433"/>
      <c r="H1647" s="433"/>
      <c r="I1647" s="433"/>
      <c r="J1647" s="433"/>
    </row>
    <row r="1648" spans="3:10" x14ac:dyDescent="0.25">
      <c r="C1648" s="433"/>
      <c r="D1648" s="433"/>
      <c r="E1648" s="433"/>
      <c r="F1648" s="433"/>
      <c r="G1648" s="433"/>
      <c r="H1648" s="433"/>
      <c r="I1648" s="433"/>
      <c r="J1648" s="433"/>
    </row>
    <row r="1649" spans="3:10" x14ac:dyDescent="0.25">
      <c r="C1649" s="433"/>
      <c r="D1649" s="433"/>
      <c r="E1649" s="433"/>
      <c r="F1649" s="433"/>
      <c r="G1649" s="433"/>
      <c r="H1649" s="433"/>
      <c r="I1649" s="433"/>
      <c r="J1649" s="433"/>
    </row>
    <row r="1650" spans="3:10" x14ac:dyDescent="0.25">
      <c r="C1650" s="433"/>
      <c r="D1650" s="433"/>
      <c r="E1650" s="433"/>
      <c r="F1650" s="433"/>
      <c r="G1650" s="433"/>
      <c r="H1650" s="433"/>
      <c r="I1650" s="433"/>
      <c r="J1650" s="433"/>
    </row>
    <row r="1651" spans="3:10" x14ac:dyDescent="0.25">
      <c r="C1651" s="433"/>
      <c r="D1651" s="433"/>
      <c r="E1651" s="433"/>
      <c r="F1651" s="433"/>
      <c r="G1651" s="433"/>
      <c r="H1651" s="433"/>
      <c r="I1651" s="433"/>
      <c r="J1651" s="433"/>
    </row>
    <row r="1652" spans="3:10" x14ac:dyDescent="0.25">
      <c r="C1652" s="433"/>
      <c r="D1652" s="433"/>
      <c r="E1652" s="433"/>
      <c r="F1652" s="433"/>
      <c r="G1652" s="433"/>
      <c r="H1652" s="433"/>
      <c r="I1652" s="433"/>
      <c r="J1652" s="433"/>
    </row>
    <row r="1653" spans="3:10" x14ac:dyDescent="0.25">
      <c r="C1653" s="433"/>
      <c r="D1653" s="433"/>
      <c r="E1653" s="433"/>
      <c r="F1653" s="433"/>
      <c r="G1653" s="433"/>
      <c r="H1653" s="433"/>
      <c r="I1653" s="433"/>
      <c r="J1653" s="433"/>
    </row>
    <row r="1654" spans="3:10" x14ac:dyDescent="0.25">
      <c r="C1654" s="433"/>
      <c r="D1654" s="433"/>
      <c r="E1654" s="433"/>
      <c r="F1654" s="433"/>
      <c r="G1654" s="433"/>
      <c r="H1654" s="433"/>
      <c r="I1654" s="433"/>
      <c r="J1654" s="433"/>
    </row>
    <row r="1655" spans="3:10" x14ac:dyDescent="0.25">
      <c r="C1655" s="433"/>
      <c r="D1655" s="433"/>
      <c r="E1655" s="433"/>
      <c r="F1655" s="433"/>
      <c r="G1655" s="433"/>
      <c r="H1655" s="433"/>
      <c r="I1655" s="433"/>
      <c r="J1655" s="433"/>
    </row>
    <row r="1656" spans="3:10" x14ac:dyDescent="0.25">
      <c r="C1656" s="433"/>
      <c r="D1656" s="433"/>
      <c r="E1656" s="433"/>
      <c r="F1656" s="433"/>
      <c r="G1656" s="433"/>
      <c r="H1656" s="433"/>
      <c r="I1656" s="433"/>
      <c r="J1656" s="433"/>
    </row>
    <row r="1657" spans="3:10" x14ac:dyDescent="0.25">
      <c r="C1657" s="433"/>
      <c r="D1657" s="433"/>
      <c r="E1657" s="433"/>
      <c r="F1657" s="433"/>
      <c r="G1657" s="433"/>
      <c r="H1657" s="433"/>
      <c r="I1657" s="433"/>
      <c r="J1657" s="433"/>
    </row>
    <row r="1658" spans="3:10" x14ac:dyDescent="0.25">
      <c r="C1658" s="433"/>
      <c r="D1658" s="433"/>
      <c r="E1658" s="433"/>
      <c r="F1658" s="433"/>
      <c r="G1658" s="433"/>
      <c r="H1658" s="433"/>
      <c r="I1658" s="433"/>
      <c r="J1658" s="433"/>
    </row>
    <row r="1659" spans="3:10" x14ac:dyDescent="0.25">
      <c r="C1659" s="433"/>
      <c r="D1659" s="433"/>
      <c r="E1659" s="433"/>
      <c r="F1659" s="433"/>
      <c r="G1659" s="433"/>
      <c r="H1659" s="433"/>
      <c r="I1659" s="433"/>
      <c r="J1659" s="433"/>
    </row>
    <row r="1660" spans="3:10" x14ac:dyDescent="0.25">
      <c r="C1660" s="433"/>
      <c r="D1660" s="433"/>
      <c r="E1660" s="433"/>
      <c r="F1660" s="433"/>
      <c r="G1660" s="433"/>
      <c r="H1660" s="433"/>
      <c r="I1660" s="433"/>
      <c r="J1660" s="433"/>
    </row>
    <row r="1661" spans="3:10" x14ac:dyDescent="0.25">
      <c r="C1661" s="433"/>
      <c r="D1661" s="433"/>
      <c r="E1661" s="433"/>
      <c r="F1661" s="433"/>
      <c r="G1661" s="433"/>
      <c r="H1661" s="433"/>
      <c r="I1661" s="433"/>
      <c r="J1661" s="433"/>
    </row>
    <row r="1662" spans="3:10" x14ac:dyDescent="0.25">
      <c r="C1662" s="433"/>
      <c r="D1662" s="433"/>
      <c r="E1662" s="433"/>
      <c r="F1662" s="433"/>
      <c r="G1662" s="433"/>
      <c r="H1662" s="433"/>
      <c r="I1662" s="433"/>
      <c r="J1662" s="433"/>
    </row>
    <row r="1663" spans="3:10" x14ac:dyDescent="0.25">
      <c r="C1663" s="433"/>
      <c r="D1663" s="433"/>
      <c r="E1663" s="433"/>
      <c r="F1663" s="433"/>
      <c r="G1663" s="433"/>
      <c r="H1663" s="433"/>
      <c r="I1663" s="433"/>
      <c r="J1663" s="433"/>
    </row>
    <row r="1664" spans="3:10" x14ac:dyDescent="0.25">
      <c r="C1664" s="433"/>
      <c r="D1664" s="433"/>
      <c r="E1664" s="433"/>
      <c r="F1664" s="433"/>
      <c r="G1664" s="433"/>
      <c r="H1664" s="433"/>
      <c r="I1664" s="433"/>
      <c r="J1664" s="433"/>
    </row>
    <row r="1665" spans="3:10" x14ac:dyDescent="0.25">
      <c r="C1665" s="433"/>
      <c r="D1665" s="433"/>
      <c r="E1665" s="433"/>
      <c r="F1665" s="433"/>
      <c r="G1665" s="433"/>
      <c r="H1665" s="433"/>
      <c r="I1665" s="433"/>
      <c r="J1665" s="433"/>
    </row>
    <row r="1666" spans="3:10" x14ac:dyDescent="0.25">
      <c r="C1666" s="433"/>
      <c r="D1666" s="433"/>
      <c r="E1666" s="433"/>
      <c r="F1666" s="433"/>
      <c r="G1666" s="433"/>
      <c r="H1666" s="433"/>
      <c r="I1666" s="433"/>
      <c r="J1666" s="433"/>
    </row>
    <row r="1667" spans="3:10" x14ac:dyDescent="0.25">
      <c r="C1667" s="433"/>
      <c r="D1667" s="433"/>
      <c r="E1667" s="433"/>
      <c r="F1667" s="433"/>
      <c r="G1667" s="433"/>
      <c r="H1667" s="433"/>
      <c r="I1667" s="433"/>
      <c r="J1667" s="433"/>
    </row>
    <row r="1668" spans="3:10" x14ac:dyDescent="0.25">
      <c r="C1668" s="433"/>
      <c r="D1668" s="433"/>
      <c r="E1668" s="433"/>
      <c r="F1668" s="433"/>
      <c r="G1668" s="433"/>
      <c r="H1668" s="433"/>
      <c r="I1668" s="433"/>
      <c r="J1668" s="433"/>
    </row>
    <row r="1669" spans="3:10" x14ac:dyDescent="0.25">
      <c r="C1669" s="433"/>
      <c r="D1669" s="433"/>
      <c r="E1669" s="433"/>
      <c r="F1669" s="433"/>
      <c r="G1669" s="433"/>
      <c r="H1669" s="433"/>
      <c r="I1669" s="433"/>
      <c r="J1669" s="433"/>
    </row>
    <row r="1670" spans="3:10" x14ac:dyDescent="0.25">
      <c r="C1670" s="433"/>
      <c r="D1670" s="433"/>
      <c r="E1670" s="433"/>
      <c r="F1670" s="433"/>
      <c r="G1670" s="433"/>
      <c r="H1670" s="433"/>
      <c r="I1670" s="433"/>
      <c r="J1670" s="433"/>
    </row>
    <row r="1671" spans="3:10" x14ac:dyDescent="0.25">
      <c r="C1671" s="433"/>
      <c r="D1671" s="433"/>
      <c r="E1671" s="433"/>
      <c r="F1671" s="433"/>
      <c r="G1671" s="433"/>
      <c r="H1671" s="433"/>
      <c r="I1671" s="433"/>
      <c r="J1671" s="433"/>
    </row>
    <row r="1672" spans="3:10" x14ac:dyDescent="0.25">
      <c r="C1672" s="433"/>
      <c r="D1672" s="433"/>
      <c r="E1672" s="433"/>
      <c r="F1672" s="433"/>
      <c r="G1672" s="433"/>
      <c r="H1672" s="433"/>
      <c r="I1672" s="433"/>
      <c r="J1672" s="433"/>
    </row>
    <row r="1673" spans="3:10" x14ac:dyDescent="0.25">
      <c r="C1673" s="433"/>
      <c r="D1673" s="433"/>
      <c r="E1673" s="433"/>
      <c r="F1673" s="433"/>
      <c r="G1673" s="433"/>
      <c r="H1673" s="433"/>
      <c r="I1673" s="433"/>
      <c r="J1673" s="433"/>
    </row>
    <row r="1674" spans="3:10" x14ac:dyDescent="0.25">
      <c r="C1674" s="433"/>
      <c r="D1674" s="433"/>
      <c r="E1674" s="433"/>
      <c r="F1674" s="433"/>
      <c r="G1674" s="433"/>
      <c r="H1674" s="433"/>
      <c r="I1674" s="433"/>
      <c r="J1674" s="433"/>
    </row>
    <row r="1675" spans="3:10" x14ac:dyDescent="0.25">
      <c r="C1675" s="433"/>
      <c r="D1675" s="433"/>
      <c r="E1675" s="433"/>
      <c r="F1675" s="433"/>
      <c r="G1675" s="433"/>
      <c r="H1675" s="433"/>
      <c r="I1675" s="433"/>
      <c r="J1675" s="433"/>
    </row>
    <row r="1676" spans="3:10" x14ac:dyDescent="0.25">
      <c r="C1676" s="433"/>
      <c r="D1676" s="433"/>
      <c r="E1676" s="433"/>
      <c r="F1676" s="433"/>
      <c r="G1676" s="433"/>
      <c r="H1676" s="433"/>
      <c r="I1676" s="433"/>
      <c r="J1676" s="433"/>
    </row>
    <row r="1677" spans="3:10" x14ac:dyDescent="0.25">
      <c r="C1677" s="433"/>
      <c r="D1677" s="433"/>
      <c r="E1677" s="433"/>
      <c r="F1677" s="433"/>
      <c r="G1677" s="433"/>
      <c r="H1677" s="433"/>
      <c r="I1677" s="433"/>
      <c r="J1677" s="433"/>
    </row>
    <row r="1678" spans="3:10" x14ac:dyDescent="0.25">
      <c r="C1678" s="433"/>
      <c r="D1678" s="433"/>
      <c r="E1678" s="433"/>
      <c r="F1678" s="433"/>
      <c r="G1678" s="433"/>
      <c r="H1678" s="433"/>
      <c r="I1678" s="433"/>
    </row>
    <row r="1679" spans="3:10" x14ac:dyDescent="0.25">
      <c r="C1679" s="433"/>
      <c r="D1679" s="433"/>
      <c r="E1679" s="433"/>
      <c r="F1679" s="433"/>
      <c r="G1679" s="433"/>
      <c r="H1679" s="433"/>
      <c r="I1679" s="433"/>
    </row>
    <row r="1680" spans="3:10" x14ac:dyDescent="0.25">
      <c r="C1680" s="433"/>
      <c r="D1680" s="433"/>
      <c r="E1680" s="433"/>
      <c r="F1680" s="433"/>
      <c r="G1680" s="433"/>
      <c r="H1680" s="433"/>
      <c r="I1680" s="433"/>
    </row>
    <row r="1681" spans="3:9" x14ac:dyDescent="0.25">
      <c r="C1681" s="433"/>
      <c r="D1681" s="433"/>
      <c r="E1681" s="433"/>
      <c r="F1681" s="433"/>
      <c r="G1681" s="433"/>
      <c r="H1681" s="433"/>
      <c r="I1681" s="433"/>
    </row>
    <row r="1682" spans="3:9" x14ac:dyDescent="0.25">
      <c r="C1682" s="433"/>
      <c r="D1682" s="433"/>
      <c r="E1682" s="433"/>
      <c r="F1682" s="433"/>
      <c r="G1682" s="433"/>
      <c r="H1682" s="433"/>
      <c r="I1682" s="433"/>
    </row>
  </sheetData>
  <mergeCells count="36">
    <mergeCell ref="A425:B425"/>
    <mergeCell ref="A475:B475"/>
    <mergeCell ref="A523:B523"/>
    <mergeCell ref="A570:B570"/>
    <mergeCell ref="A607:B607"/>
    <mergeCell ref="A428:F428"/>
    <mergeCell ref="A2:F2"/>
    <mergeCell ref="A63:F63"/>
    <mergeCell ref="A127:F127"/>
    <mergeCell ref="A180:F180"/>
    <mergeCell ref="A319:F319"/>
    <mergeCell ref="A61:B61"/>
    <mergeCell ref="A125:B125"/>
    <mergeCell ref="A171:F171"/>
    <mergeCell ref="A178:B178"/>
    <mergeCell ref="U185:Z185"/>
    <mergeCell ref="A272:F272"/>
    <mergeCell ref="A395:F395"/>
    <mergeCell ref="A413:F413"/>
    <mergeCell ref="A376:F376"/>
    <mergeCell ref="A228:B228"/>
    <mergeCell ref="A271:B271"/>
    <mergeCell ref="A374:B374"/>
    <mergeCell ref="A392:B392"/>
    <mergeCell ref="A411:B411"/>
    <mergeCell ref="A904:H904"/>
    <mergeCell ref="A733:B733"/>
    <mergeCell ref="A794:B794"/>
    <mergeCell ref="A524:F524"/>
    <mergeCell ref="A728:B728"/>
    <mergeCell ref="A792:B792"/>
    <mergeCell ref="A856:B856"/>
    <mergeCell ref="A858:B858"/>
    <mergeCell ref="A889:B889"/>
    <mergeCell ref="A897:B897"/>
    <mergeCell ref="A608:B608"/>
  </mergeCells>
  <phoneticPr fontId="0" type="noConversion"/>
  <pageMargins left="0.25" right="0.25" top="0.75" bottom="0.75" header="0.3" footer="0.3"/>
  <pageSetup scale="66" fitToHeight="0" orientation="landscape" r:id="rId1"/>
  <headerFooter alignWithMargins="0">
    <oddFooter xml:space="preserve">&amp;R&amp;D  DRAFT # 3 </oddFooter>
  </headerFooter>
  <rowBreaks count="36" manualBreakCount="36">
    <brk id="42" max="11" man="1"/>
    <brk id="61" max="11" man="1"/>
    <brk id="107" max="11" man="1"/>
    <brk id="126" max="11" man="1"/>
    <brk id="170" max="11" man="1"/>
    <brk id="179" max="11" man="1"/>
    <brk id="221" max="11" man="1"/>
    <brk id="228" max="11" man="1"/>
    <brk id="271" max="11" man="1"/>
    <brk id="312" max="11" man="1"/>
    <brk id="318" max="11" man="1"/>
    <brk id="358" max="11" man="1"/>
    <brk id="375" max="11" man="1"/>
    <brk id="392" max="11" man="1"/>
    <brk id="411" max="11" man="1"/>
    <brk id="427" max="11" man="1"/>
    <brk id="468" max="11" man="1"/>
    <brk id="477" max="11" man="1"/>
    <brk id="523" max="11" man="1"/>
    <brk id="562" max="11" man="1"/>
    <brk id="576" max="11" man="1"/>
    <brk id="607" max="11" man="1"/>
    <brk id="666" max="11" man="1"/>
    <brk id="705" max="11" man="1"/>
    <brk id="730" max="11" man="1"/>
    <brk id="768" max="11" man="1"/>
    <brk id="793" max="11" man="1"/>
    <brk id="858" max="11" man="1"/>
    <brk id="881" max="11" man="1"/>
    <brk id="901" max="11" man="1"/>
    <brk id="924" max="11" man="1"/>
    <brk id="952" max="11" man="1"/>
    <brk id="978" max="11" man="1"/>
    <brk id="1016" max="11" man="1"/>
    <brk id="1050" max="11" man="1"/>
    <brk id="1094" max="11" man="1"/>
  </rowBreaks>
  <ignoredErrors>
    <ignoredError sqref="H644 H650 H67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zoomScaleNormal="100" workbookViewId="0">
      <selection activeCell="K19" sqref="K19"/>
    </sheetView>
  </sheetViews>
  <sheetFormatPr defaultRowHeight="12.75" x14ac:dyDescent="0.2"/>
  <cols>
    <col min="5" max="6" width="9.140625" hidden="1" customWidth="1"/>
    <col min="9" max="9" width="9.140625" style="92"/>
    <col min="11" max="11" width="10.140625" bestFit="1" customWidth="1"/>
  </cols>
  <sheetData>
    <row r="2" spans="1:11" x14ac:dyDescent="0.2">
      <c r="A2" t="s">
        <v>396</v>
      </c>
    </row>
    <row r="4" spans="1:11" x14ac:dyDescent="0.2">
      <c r="A4" t="s">
        <v>360</v>
      </c>
      <c r="B4" t="s">
        <v>361</v>
      </c>
    </row>
    <row r="5" spans="1:11" x14ac:dyDescent="0.2">
      <c r="A5" t="s">
        <v>362</v>
      </c>
      <c r="B5" t="s">
        <v>363</v>
      </c>
    </row>
    <row r="6" spans="1:11" x14ac:dyDescent="0.2">
      <c r="E6" s="27" t="s">
        <v>407</v>
      </c>
      <c r="G6" s="27" t="s">
        <v>849</v>
      </c>
      <c r="H6" s="27"/>
      <c r="I6" s="93" t="s">
        <v>859</v>
      </c>
    </row>
    <row r="7" spans="1:11" x14ac:dyDescent="0.2">
      <c r="A7" s="17" t="s">
        <v>397</v>
      </c>
      <c r="E7" s="18" t="s">
        <v>398</v>
      </c>
      <c r="G7" s="18" t="s">
        <v>398</v>
      </c>
      <c r="H7" s="18"/>
      <c r="I7" s="94" t="s">
        <v>398</v>
      </c>
      <c r="K7" s="18" t="s">
        <v>399</v>
      </c>
    </row>
    <row r="9" spans="1:11" x14ac:dyDescent="0.2">
      <c r="A9" t="s">
        <v>400</v>
      </c>
      <c r="E9" s="19">
        <v>6512</v>
      </c>
      <c r="F9" s="19"/>
      <c r="G9" s="56">
        <f>((2080*34.13)/12)</f>
        <v>5915.8666666666677</v>
      </c>
      <c r="H9" s="19"/>
      <c r="I9" s="56">
        <f>((2080*38.463)/12)</f>
        <v>6666.920000000001</v>
      </c>
      <c r="J9" s="19"/>
      <c r="K9" s="40">
        <f>SUM(I9*12)</f>
        <v>80003.040000000008</v>
      </c>
    </row>
    <row r="10" spans="1:11" x14ac:dyDescent="0.2">
      <c r="E10" s="19"/>
      <c r="F10" s="19"/>
      <c r="G10" s="19"/>
      <c r="H10" s="19"/>
      <c r="I10" s="56"/>
      <c r="J10" s="19"/>
      <c r="K10" s="40"/>
    </row>
    <row r="11" spans="1:11" x14ac:dyDescent="0.2">
      <c r="A11" t="s">
        <v>401</v>
      </c>
      <c r="E11" s="19">
        <v>4160</v>
      </c>
      <c r="F11" s="19"/>
      <c r="G11" s="19">
        <f>48000/12</f>
        <v>4000</v>
      </c>
      <c r="H11" s="19"/>
      <c r="I11" s="56">
        <f>((2080*27.89)/12)</f>
        <v>4834.2666666666673</v>
      </c>
      <c r="J11" s="19"/>
      <c r="K11" s="40">
        <f>SUM(I11*12)</f>
        <v>58011.200000000012</v>
      </c>
    </row>
    <row r="12" spans="1:11" x14ac:dyDescent="0.2">
      <c r="E12" s="19"/>
      <c r="F12" s="19"/>
      <c r="G12" s="19"/>
      <c r="H12" s="19"/>
      <c r="I12" s="56"/>
      <c r="J12" s="19"/>
      <c r="K12" s="40"/>
    </row>
    <row r="13" spans="1:11" x14ac:dyDescent="0.2">
      <c r="A13" t="s">
        <v>1056</v>
      </c>
      <c r="E13" s="19"/>
      <c r="F13" s="19"/>
      <c r="G13" s="19">
        <v>0</v>
      </c>
      <c r="H13" s="19"/>
      <c r="I13" s="56">
        <f>((2080*15)/12)</f>
        <v>2600</v>
      </c>
      <c r="J13" s="19"/>
      <c r="K13" s="40">
        <f>2080*15</f>
        <v>31200</v>
      </c>
    </row>
    <row r="14" spans="1:11" x14ac:dyDescent="0.2">
      <c r="E14" s="19"/>
      <c r="F14" s="19"/>
      <c r="G14" s="19"/>
      <c r="H14" s="19"/>
      <c r="I14" s="56"/>
      <c r="J14" s="19"/>
      <c r="K14" s="40"/>
    </row>
    <row r="15" spans="1:11" x14ac:dyDescent="0.2">
      <c r="A15" t="s">
        <v>512</v>
      </c>
      <c r="E15" s="19">
        <v>2827</v>
      </c>
      <c r="F15" s="19"/>
      <c r="G15" s="57">
        <v>0</v>
      </c>
      <c r="H15" s="19"/>
      <c r="I15" s="95">
        <v>0</v>
      </c>
      <c r="J15" s="19"/>
      <c r="K15" s="55">
        <f>SUM(I15*12)</f>
        <v>0</v>
      </c>
    </row>
    <row r="16" spans="1:11" x14ac:dyDescent="0.2">
      <c r="E16" s="19"/>
      <c r="F16" s="19"/>
      <c r="G16" s="19"/>
      <c r="H16" s="19"/>
      <c r="I16" s="56"/>
      <c r="J16" s="19"/>
      <c r="K16" s="19"/>
    </row>
    <row r="17" spans="1:11" x14ac:dyDescent="0.2">
      <c r="A17" t="s">
        <v>402</v>
      </c>
      <c r="E17" s="19"/>
      <c r="F17" s="19"/>
      <c r="G17" s="19"/>
      <c r="H17" s="19"/>
      <c r="I17" s="56"/>
      <c r="J17" s="19"/>
      <c r="K17" s="19">
        <v>0</v>
      </c>
    </row>
    <row r="18" spans="1:11" x14ac:dyDescent="0.2">
      <c r="E18" s="19"/>
      <c r="F18" s="19"/>
      <c r="G18" s="19"/>
      <c r="H18" s="19"/>
      <c r="I18" s="56"/>
      <c r="J18" s="19"/>
      <c r="K18" s="19"/>
    </row>
    <row r="19" spans="1:11" x14ac:dyDescent="0.2">
      <c r="A19" t="s">
        <v>403</v>
      </c>
      <c r="E19" s="19"/>
      <c r="F19" s="19"/>
      <c r="G19" s="19"/>
      <c r="H19" s="19"/>
      <c r="I19" s="56"/>
      <c r="J19" s="19"/>
      <c r="K19" s="19">
        <f>SUM(K9:K18)</f>
        <v>169214.24000000002</v>
      </c>
    </row>
    <row r="20" spans="1:11" x14ac:dyDescent="0.2">
      <c r="E20" s="19"/>
      <c r="F20" s="19"/>
      <c r="G20" s="19"/>
      <c r="H20" s="19"/>
      <c r="I20" s="56"/>
      <c r="J20" s="19"/>
      <c r="K20" s="19"/>
    </row>
    <row r="21" spans="1:11" x14ac:dyDescent="0.2">
      <c r="E21" s="19"/>
      <c r="F21" s="19"/>
      <c r="G21" s="19"/>
      <c r="H21" s="19"/>
      <c r="I21" s="56"/>
      <c r="J21" s="19"/>
      <c r="K21" s="19"/>
    </row>
    <row r="22" spans="1:11" x14ac:dyDescent="0.2">
      <c r="E22" s="19"/>
      <c r="F22" s="19"/>
      <c r="G22" s="19"/>
      <c r="H22" s="19"/>
      <c r="I22" s="56"/>
      <c r="J22" s="19"/>
      <c r="K22" s="19"/>
    </row>
    <row r="23" spans="1:11" x14ac:dyDescent="0.2">
      <c r="E23" s="19"/>
      <c r="F23" s="19"/>
      <c r="G23" s="19"/>
      <c r="H23" s="19"/>
      <c r="I23" s="56"/>
      <c r="J23" s="19"/>
      <c r="K23" s="19"/>
    </row>
    <row r="24" spans="1:11" x14ac:dyDescent="0.2">
      <c r="E24" s="19"/>
      <c r="F24" s="19"/>
      <c r="G24" s="19"/>
      <c r="H24" s="19"/>
      <c r="I24" s="56"/>
      <c r="J24" s="19"/>
      <c r="K24" s="19"/>
    </row>
    <row r="25" spans="1:11" x14ac:dyDescent="0.2">
      <c r="E25" s="19"/>
      <c r="F25" s="19"/>
      <c r="G25" s="19"/>
      <c r="H25" s="19"/>
      <c r="I25" s="56"/>
      <c r="J25" s="19"/>
      <c r="K25" s="19"/>
    </row>
    <row r="26" spans="1:11" x14ac:dyDescent="0.2">
      <c r="E26" s="19"/>
      <c r="F26" s="19"/>
      <c r="G26" s="19"/>
      <c r="H26" s="19"/>
      <c r="I26" s="56"/>
      <c r="J26" s="19"/>
      <c r="K26" s="19"/>
    </row>
    <row r="27" spans="1:11" x14ac:dyDescent="0.2">
      <c r="E27" s="19"/>
      <c r="F27" s="19"/>
      <c r="G27" s="19"/>
      <c r="H27" s="19"/>
      <c r="I27" s="56"/>
      <c r="J27" s="19"/>
      <c r="K27" s="19"/>
    </row>
    <row r="28" spans="1:11" x14ac:dyDescent="0.2">
      <c r="E28" s="19"/>
      <c r="F28" s="19"/>
      <c r="G28" s="19"/>
      <c r="H28" s="19"/>
      <c r="I28" s="56"/>
      <c r="J28" s="19"/>
      <c r="K28" s="19"/>
    </row>
    <row r="29" spans="1:11" x14ac:dyDescent="0.2">
      <c r="E29" s="19"/>
      <c r="F29" s="19"/>
      <c r="G29" s="19"/>
      <c r="H29" s="19"/>
      <c r="I29" s="56"/>
      <c r="J29" s="19"/>
      <c r="K29" s="19"/>
    </row>
    <row r="30" spans="1:11" x14ac:dyDescent="0.2">
      <c r="E30" s="19"/>
      <c r="F30" s="19"/>
      <c r="G30" s="19"/>
      <c r="H30" s="19"/>
      <c r="I30" s="56"/>
      <c r="J30" s="19"/>
      <c r="K30" s="19"/>
    </row>
    <row r="31" spans="1:11" x14ac:dyDescent="0.2">
      <c r="E31" s="19"/>
      <c r="F31" s="19"/>
      <c r="G31" s="19"/>
      <c r="H31" s="19"/>
      <c r="I31" s="56"/>
      <c r="J31" s="19"/>
      <c r="K31" s="19"/>
    </row>
    <row r="32" spans="1:11" x14ac:dyDescent="0.2">
      <c r="E32" s="19"/>
      <c r="F32" s="19"/>
      <c r="G32" s="19"/>
      <c r="H32" s="19"/>
      <c r="I32" s="56"/>
      <c r="J32" s="19"/>
      <c r="K32" s="19"/>
    </row>
    <row r="33" spans="5:11" x14ac:dyDescent="0.2">
      <c r="E33" s="19"/>
      <c r="F33" s="19"/>
      <c r="G33" s="19"/>
      <c r="H33" s="19"/>
      <c r="I33" s="56"/>
      <c r="J33" s="19"/>
      <c r="K33" s="19"/>
    </row>
    <row r="34" spans="5:11" x14ac:dyDescent="0.2">
      <c r="E34" s="19"/>
      <c r="F34" s="19"/>
      <c r="G34" s="19"/>
      <c r="H34" s="19"/>
      <c r="I34" s="56"/>
      <c r="J34" s="19"/>
      <c r="K34" s="19"/>
    </row>
    <row r="35" spans="5:11" x14ac:dyDescent="0.2">
      <c r="E35" s="19"/>
      <c r="F35" s="19"/>
      <c r="G35" s="19"/>
      <c r="H35" s="19"/>
      <c r="I35" s="56"/>
      <c r="J35" s="19"/>
      <c r="K35" s="19"/>
    </row>
    <row r="36" spans="5:11" x14ac:dyDescent="0.2">
      <c r="E36" s="19"/>
      <c r="F36" s="19"/>
      <c r="G36" s="19"/>
      <c r="H36" s="19"/>
      <c r="I36" s="56"/>
      <c r="J36" s="19"/>
      <c r="K36" s="19"/>
    </row>
    <row r="37" spans="5:11" x14ac:dyDescent="0.2">
      <c r="E37" s="19"/>
      <c r="F37" s="19"/>
      <c r="G37" s="19"/>
      <c r="H37" s="19"/>
      <c r="I37" s="56"/>
      <c r="J37" s="19"/>
      <c r="K37" s="19"/>
    </row>
    <row r="38" spans="5:11" x14ac:dyDescent="0.2">
      <c r="E38" s="19"/>
      <c r="F38" s="19"/>
      <c r="G38" s="19"/>
      <c r="H38" s="19"/>
      <c r="I38" s="56"/>
      <c r="J38" s="19"/>
      <c r="K38" s="19"/>
    </row>
    <row r="39" spans="5:11" x14ac:dyDescent="0.2">
      <c r="E39" s="19"/>
      <c r="F39" s="19"/>
      <c r="G39" s="19"/>
      <c r="H39" s="19"/>
      <c r="I39" s="56"/>
      <c r="J39" s="19"/>
      <c r="K39" s="19"/>
    </row>
    <row r="40" spans="5:11" x14ac:dyDescent="0.2">
      <c r="E40" s="19"/>
      <c r="F40" s="19"/>
      <c r="G40" s="19"/>
      <c r="H40" s="19"/>
      <c r="I40" s="56"/>
      <c r="J40" s="19"/>
      <c r="K40" s="19"/>
    </row>
    <row r="41" spans="5:11" x14ac:dyDescent="0.2">
      <c r="E41" s="19"/>
      <c r="F41" s="19"/>
      <c r="G41" s="19"/>
      <c r="H41" s="19"/>
      <c r="I41" s="56"/>
      <c r="J41" s="19"/>
      <c r="K41" s="19"/>
    </row>
    <row r="42" spans="5:11" x14ac:dyDescent="0.2">
      <c r="E42" s="19"/>
      <c r="F42" s="19"/>
      <c r="G42" s="19"/>
      <c r="H42" s="19"/>
      <c r="I42" s="56"/>
      <c r="J42" s="19"/>
      <c r="K42" s="19"/>
    </row>
    <row r="43" spans="5:11" x14ac:dyDescent="0.2">
      <c r="E43" s="19"/>
      <c r="F43" s="19"/>
      <c r="G43" s="19"/>
      <c r="H43" s="19"/>
      <c r="I43" s="56"/>
      <c r="J43" s="19"/>
      <c r="K43" s="19"/>
    </row>
    <row r="44" spans="5:11" x14ac:dyDescent="0.2">
      <c r="E44" s="19"/>
      <c r="F44" s="19"/>
      <c r="G44" s="19"/>
      <c r="H44" s="19"/>
      <c r="I44" s="56"/>
      <c r="J44" s="19"/>
      <c r="K44" s="19"/>
    </row>
    <row r="45" spans="5:11" x14ac:dyDescent="0.2">
      <c r="E45" s="19"/>
      <c r="F45" s="19"/>
      <c r="G45" s="19"/>
      <c r="H45" s="19"/>
      <c r="I45" s="56"/>
      <c r="J45" s="19"/>
      <c r="K45" s="19"/>
    </row>
    <row r="46" spans="5:11" x14ac:dyDescent="0.2">
      <c r="E46" s="19"/>
      <c r="F46" s="19"/>
      <c r="G46" s="19"/>
      <c r="H46" s="19"/>
      <c r="I46" s="56"/>
      <c r="J46" s="19"/>
      <c r="K46" s="19"/>
    </row>
    <row r="47" spans="5:11" x14ac:dyDescent="0.2">
      <c r="E47" s="19"/>
      <c r="F47" s="19"/>
      <c r="G47" s="19"/>
      <c r="H47" s="19"/>
      <c r="I47" s="56"/>
      <c r="J47" s="19"/>
      <c r="K47" s="19"/>
    </row>
    <row r="48" spans="5:11" x14ac:dyDescent="0.2">
      <c r="E48" s="19"/>
      <c r="F48" s="19"/>
      <c r="G48" s="19"/>
      <c r="H48" s="19"/>
      <c r="I48" s="56"/>
      <c r="J48" s="19"/>
      <c r="K48" s="19"/>
    </row>
    <row r="49" spans="5:11" x14ac:dyDescent="0.2">
      <c r="E49" s="19"/>
      <c r="F49" s="19"/>
      <c r="G49" s="19"/>
      <c r="H49" s="19"/>
      <c r="I49" s="56"/>
      <c r="J49" s="19"/>
      <c r="K49" s="19"/>
    </row>
    <row r="50" spans="5:11" x14ac:dyDescent="0.2">
      <c r="E50" s="19"/>
      <c r="F50" s="19"/>
      <c r="G50" s="19"/>
      <c r="H50" s="19"/>
      <c r="I50" s="56"/>
      <c r="J50" s="19"/>
      <c r="K50" s="19"/>
    </row>
    <row r="51" spans="5:11" x14ac:dyDescent="0.2">
      <c r="E51" s="19"/>
      <c r="F51" s="19"/>
      <c r="G51" s="19"/>
      <c r="H51" s="19"/>
      <c r="I51" s="56"/>
      <c r="J51" s="19"/>
      <c r="K51" s="19"/>
    </row>
    <row r="52" spans="5:11" x14ac:dyDescent="0.2">
      <c r="E52" s="19"/>
      <c r="F52" s="19"/>
      <c r="G52" s="19"/>
      <c r="H52" s="19"/>
      <c r="I52" s="56"/>
      <c r="J52" s="19"/>
      <c r="K52" s="19"/>
    </row>
  </sheetData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opLeftCell="A28" zoomScaleNormal="100" workbookViewId="0">
      <selection activeCell="E56" sqref="E56"/>
    </sheetView>
  </sheetViews>
  <sheetFormatPr defaultRowHeight="12.75" x14ac:dyDescent="0.2"/>
  <cols>
    <col min="1" max="1" width="11.28515625" customWidth="1"/>
    <col min="2" max="2" width="3.42578125" customWidth="1"/>
    <col min="3" max="3" width="49.7109375" customWidth="1"/>
    <col min="4" max="4" width="2.7109375" customWidth="1"/>
    <col min="5" max="5" width="12.85546875" customWidth="1"/>
    <col min="7" max="7" width="10.140625" bestFit="1" customWidth="1"/>
  </cols>
  <sheetData>
    <row r="1" spans="1:7" x14ac:dyDescent="0.2">
      <c r="A1" s="9" t="s">
        <v>359</v>
      </c>
      <c r="B1" s="9"/>
      <c r="C1" s="9"/>
      <c r="D1" s="9"/>
      <c r="E1" s="9"/>
    </row>
    <row r="2" spans="1:7" x14ac:dyDescent="0.2">
      <c r="A2" s="9"/>
      <c r="B2" s="9"/>
      <c r="C2" s="9"/>
      <c r="D2" s="9"/>
      <c r="E2" s="9"/>
    </row>
    <row r="3" spans="1:7" x14ac:dyDescent="0.2">
      <c r="A3" s="9" t="s">
        <v>360</v>
      </c>
      <c r="B3" s="9"/>
      <c r="C3" s="9" t="s">
        <v>361</v>
      </c>
      <c r="D3" s="9"/>
      <c r="E3" s="9"/>
    </row>
    <row r="4" spans="1:7" x14ac:dyDescent="0.2">
      <c r="A4" s="9" t="s">
        <v>362</v>
      </c>
      <c r="B4" s="9"/>
      <c r="C4" s="9" t="s">
        <v>363</v>
      </c>
      <c r="D4" s="9"/>
      <c r="E4" s="60">
        <v>43373</v>
      </c>
      <c r="G4" s="61"/>
    </row>
    <row r="5" spans="1:7" x14ac:dyDescent="0.2">
      <c r="A5" s="9"/>
      <c r="B5" s="9"/>
      <c r="C5" s="9"/>
      <c r="D5" s="9"/>
      <c r="E5" s="63" t="s">
        <v>847</v>
      </c>
    </row>
    <row r="6" spans="1:7" x14ac:dyDescent="0.2">
      <c r="A6" s="10" t="s">
        <v>364</v>
      </c>
      <c r="B6" s="9"/>
      <c r="C6" s="11" t="s">
        <v>365</v>
      </c>
      <c r="D6" s="9"/>
      <c r="E6" s="10" t="s">
        <v>366</v>
      </c>
      <c r="G6" s="62"/>
    </row>
    <row r="7" spans="1:7" x14ac:dyDescent="0.2">
      <c r="A7" s="9"/>
      <c r="B7" s="9"/>
      <c r="C7" s="9"/>
      <c r="D7" s="9"/>
      <c r="E7" s="9"/>
    </row>
    <row r="8" spans="1:7" x14ac:dyDescent="0.2">
      <c r="A8" s="9">
        <v>510.01</v>
      </c>
      <c r="B8" s="9"/>
      <c r="C8" s="9" t="s">
        <v>367</v>
      </c>
      <c r="D8" s="9"/>
      <c r="E8" s="12">
        <v>6000</v>
      </c>
      <c r="G8" s="26"/>
    </row>
    <row r="9" spans="1:7" x14ac:dyDescent="0.2">
      <c r="A9" s="9"/>
      <c r="B9" s="9"/>
      <c r="C9" s="9" t="s">
        <v>368</v>
      </c>
      <c r="D9" s="9"/>
      <c r="E9" s="12">
        <v>720</v>
      </c>
    </row>
    <row r="10" spans="1:7" x14ac:dyDescent="0.2">
      <c r="A10" s="9"/>
      <c r="B10" s="9"/>
      <c r="C10" s="9" t="s">
        <v>1070</v>
      </c>
      <c r="D10" s="9"/>
      <c r="E10" s="13">
        <f>50*12</f>
        <v>600</v>
      </c>
    </row>
    <row r="11" spans="1:7" x14ac:dyDescent="0.2">
      <c r="A11" s="9"/>
      <c r="B11" s="9"/>
      <c r="C11" s="9" t="s">
        <v>369</v>
      </c>
      <c r="D11" s="9"/>
      <c r="E11" s="12">
        <f>SUM(E8:E10)</f>
        <v>7320</v>
      </c>
    </row>
    <row r="12" spans="1:7" x14ac:dyDescent="0.2">
      <c r="A12" s="9"/>
      <c r="B12" s="9"/>
      <c r="C12" s="9"/>
      <c r="D12" s="9"/>
      <c r="E12" s="12"/>
    </row>
    <row r="13" spans="1:7" x14ac:dyDescent="0.2">
      <c r="A13" s="9">
        <v>510.03</v>
      </c>
      <c r="B13" s="9"/>
      <c r="C13" s="9" t="s">
        <v>370</v>
      </c>
      <c r="D13" s="9"/>
      <c r="E13" s="12">
        <v>24500</v>
      </c>
    </row>
    <row r="14" spans="1:7" x14ac:dyDescent="0.2">
      <c r="A14" s="9"/>
      <c r="B14" s="9"/>
      <c r="C14" s="9" t="s">
        <v>632</v>
      </c>
      <c r="D14" s="9"/>
      <c r="E14" s="12">
        <v>7500</v>
      </c>
    </row>
    <row r="15" spans="1:7" x14ac:dyDescent="0.2">
      <c r="A15" s="9"/>
      <c r="B15" s="9"/>
      <c r="C15" s="9" t="s">
        <v>371</v>
      </c>
      <c r="D15" s="9"/>
      <c r="E15" s="12">
        <v>13000</v>
      </c>
    </row>
    <row r="16" spans="1:7" x14ac:dyDescent="0.2">
      <c r="A16" s="9"/>
      <c r="B16" s="9"/>
      <c r="C16" s="9" t="s">
        <v>372</v>
      </c>
      <c r="D16" s="9"/>
      <c r="E16" s="13">
        <f>-250*12</f>
        <v>-3000</v>
      </c>
    </row>
    <row r="17" spans="1:5" x14ac:dyDescent="0.2">
      <c r="A17" s="9"/>
      <c r="B17" s="9"/>
      <c r="C17" s="67" t="s">
        <v>934</v>
      </c>
      <c r="D17" s="9"/>
      <c r="E17" s="12">
        <f>SUM(E13:E16)</f>
        <v>42000</v>
      </c>
    </row>
    <row r="18" spans="1:5" x14ac:dyDescent="0.2">
      <c r="A18" s="9"/>
      <c r="B18" s="9"/>
      <c r="C18" s="9"/>
      <c r="D18" s="9"/>
      <c r="E18" s="12"/>
    </row>
    <row r="19" spans="1:5" x14ac:dyDescent="0.2">
      <c r="A19" s="9">
        <v>510.04</v>
      </c>
      <c r="B19" s="9"/>
      <c r="C19" s="9" t="s">
        <v>1010</v>
      </c>
      <c r="D19" s="9"/>
      <c r="E19" s="12">
        <f>SUM(5*150)*12+SUM(300*12)</f>
        <v>12600</v>
      </c>
    </row>
    <row r="20" spans="1:5" x14ac:dyDescent="0.2">
      <c r="A20" s="9"/>
      <c r="B20" s="9"/>
      <c r="C20" s="9" t="s">
        <v>1071</v>
      </c>
      <c r="D20" s="9"/>
      <c r="E20" s="13">
        <f>50*12*5</f>
        <v>3000</v>
      </c>
    </row>
    <row r="21" spans="1:5" x14ac:dyDescent="0.2">
      <c r="A21" s="9"/>
      <c r="B21" s="9"/>
      <c r="C21" s="9"/>
      <c r="D21" s="9"/>
      <c r="E21" s="12">
        <f>SUM(E19:E20)</f>
        <v>15600</v>
      </c>
    </row>
    <row r="22" spans="1:5" x14ac:dyDescent="0.2">
      <c r="A22" s="9"/>
      <c r="B22" s="9"/>
      <c r="C22" s="9"/>
      <c r="D22" s="9"/>
      <c r="E22" s="12"/>
    </row>
    <row r="23" spans="1:5" x14ac:dyDescent="0.2">
      <c r="A23" s="14">
        <v>510.05</v>
      </c>
      <c r="B23" s="9"/>
      <c r="C23" s="9" t="s">
        <v>756</v>
      </c>
      <c r="D23" s="9"/>
      <c r="E23" s="12">
        <f>7928*2</f>
        <v>15856</v>
      </c>
    </row>
    <row r="24" spans="1:5" x14ac:dyDescent="0.2">
      <c r="A24" s="14"/>
      <c r="B24" s="9"/>
      <c r="C24" s="9" t="s">
        <v>1057</v>
      </c>
      <c r="D24" s="9"/>
      <c r="E24" s="12">
        <f>72*12</f>
        <v>864</v>
      </c>
    </row>
    <row r="25" spans="1:5" x14ac:dyDescent="0.2">
      <c r="A25" s="14"/>
      <c r="B25" s="9"/>
      <c r="C25" s="9" t="s">
        <v>525</v>
      </c>
      <c r="D25" s="9"/>
      <c r="E25" s="12">
        <f>SUM('Personnel Sched - Gen Admin'!K19*0.00515)</f>
        <v>871.45333600000015</v>
      </c>
    </row>
    <row r="26" spans="1:5" x14ac:dyDescent="0.2">
      <c r="A26" s="14"/>
      <c r="B26" s="9"/>
      <c r="C26" s="9" t="s">
        <v>1058</v>
      </c>
      <c r="D26" s="9"/>
      <c r="E26" s="12">
        <v>120</v>
      </c>
    </row>
    <row r="27" spans="1:5" x14ac:dyDescent="0.2">
      <c r="A27" s="14"/>
      <c r="B27" s="9"/>
      <c r="C27" s="9" t="s">
        <v>1011</v>
      </c>
      <c r="D27" s="9"/>
      <c r="E27" s="13">
        <f>55*2</f>
        <v>110</v>
      </c>
    </row>
    <row r="28" spans="1:5" x14ac:dyDescent="0.2">
      <c r="A28" s="14"/>
      <c r="B28" s="9"/>
      <c r="C28" s="9" t="s">
        <v>369</v>
      </c>
      <c r="D28" s="9"/>
      <c r="E28" s="12">
        <f>SUM(E23:E27)</f>
        <v>17821.453335999999</v>
      </c>
    </row>
    <row r="29" spans="1:5" x14ac:dyDescent="0.2">
      <c r="A29" s="14"/>
      <c r="B29" s="9"/>
      <c r="C29" s="9"/>
      <c r="D29" s="9"/>
      <c r="E29" s="12"/>
    </row>
    <row r="30" spans="1:5" x14ac:dyDescent="0.2">
      <c r="A30" s="14">
        <v>510.06</v>
      </c>
      <c r="B30" s="9"/>
      <c r="C30" s="9" t="s">
        <v>373</v>
      </c>
      <c r="D30" s="9"/>
      <c r="E30" s="12">
        <f>(+'Personnel Sched - Gen Admin'!K19*0.0765)</f>
        <v>12944.889360000001</v>
      </c>
    </row>
    <row r="31" spans="1:5" x14ac:dyDescent="0.2">
      <c r="A31" s="14"/>
      <c r="B31" s="9"/>
      <c r="C31" s="9"/>
      <c r="D31" s="9"/>
      <c r="E31" s="12"/>
    </row>
    <row r="32" spans="1:5" x14ac:dyDescent="0.2">
      <c r="A32" s="14">
        <v>510.07</v>
      </c>
      <c r="B32" s="9"/>
      <c r="C32" s="9" t="s">
        <v>860</v>
      </c>
      <c r="D32" s="9"/>
      <c r="E32" s="12">
        <f>(+'Personnel Sched - Gen Admin'!K19*0.0502)</f>
        <v>8494.5548480000016</v>
      </c>
    </row>
    <row r="33" spans="1:5" x14ac:dyDescent="0.2">
      <c r="A33" s="14"/>
      <c r="B33" s="9"/>
      <c r="C33" s="9"/>
      <c r="D33" s="9"/>
      <c r="E33" s="12"/>
    </row>
    <row r="34" spans="1:5" x14ac:dyDescent="0.2">
      <c r="A34" s="14">
        <v>510.08</v>
      </c>
      <c r="B34" s="9"/>
      <c r="C34" s="9" t="s">
        <v>567</v>
      </c>
      <c r="D34" s="9"/>
      <c r="E34" s="12">
        <f>(450*1.015)</f>
        <v>456.74999999999994</v>
      </c>
    </row>
    <row r="35" spans="1:5" x14ac:dyDescent="0.2">
      <c r="A35" s="14"/>
      <c r="B35" s="9"/>
      <c r="C35" s="9" t="s">
        <v>374</v>
      </c>
      <c r="D35" s="9"/>
      <c r="E35" s="13">
        <v>60</v>
      </c>
    </row>
    <row r="36" spans="1:5" x14ac:dyDescent="0.2">
      <c r="A36" s="14"/>
      <c r="B36" s="9"/>
      <c r="C36" s="9" t="s">
        <v>13</v>
      </c>
      <c r="D36" s="9"/>
      <c r="E36" s="12">
        <f>SUM(E34:E35)</f>
        <v>516.75</v>
      </c>
    </row>
    <row r="37" spans="1:5" x14ac:dyDescent="0.2">
      <c r="A37" s="14"/>
      <c r="B37" s="9"/>
      <c r="C37" s="9"/>
      <c r="D37" s="9"/>
      <c r="E37" s="12"/>
    </row>
    <row r="38" spans="1:5" x14ac:dyDescent="0.2">
      <c r="A38" s="14">
        <v>510.09</v>
      </c>
      <c r="B38" s="9"/>
      <c r="C38" s="9" t="s">
        <v>691</v>
      </c>
      <c r="D38" s="9"/>
      <c r="E38" s="12">
        <v>1670</v>
      </c>
    </row>
    <row r="39" spans="1:5" x14ac:dyDescent="0.2">
      <c r="A39" s="14"/>
      <c r="B39" s="9"/>
      <c r="C39" s="9"/>
      <c r="D39" s="9"/>
      <c r="E39" s="12"/>
    </row>
    <row r="40" spans="1:5" x14ac:dyDescent="0.2">
      <c r="A40" s="14">
        <v>510.11</v>
      </c>
      <c r="B40" s="9"/>
      <c r="C40" s="9" t="s">
        <v>832</v>
      </c>
      <c r="D40" s="9"/>
      <c r="E40" s="12">
        <v>2000</v>
      </c>
    </row>
    <row r="41" spans="1:5" x14ac:dyDescent="0.2">
      <c r="A41" s="14"/>
      <c r="B41" s="9"/>
      <c r="C41" s="9"/>
      <c r="D41" s="9"/>
      <c r="E41" s="12"/>
    </row>
    <row r="42" spans="1:5" x14ac:dyDescent="0.2">
      <c r="A42" s="14">
        <v>510.12</v>
      </c>
      <c r="B42" s="9"/>
      <c r="C42" s="9" t="s">
        <v>692</v>
      </c>
      <c r="D42" s="9"/>
      <c r="E42" s="12">
        <f>450+300</f>
        <v>750</v>
      </c>
    </row>
    <row r="43" spans="1:5" x14ac:dyDescent="0.2">
      <c r="A43" s="14"/>
      <c r="B43" s="9"/>
      <c r="C43" s="9"/>
      <c r="D43" s="9"/>
      <c r="E43" s="12"/>
    </row>
    <row r="44" spans="1:5" x14ac:dyDescent="0.2">
      <c r="A44" s="14">
        <v>520.01</v>
      </c>
      <c r="B44" s="9"/>
      <c r="C44" s="9" t="s">
        <v>161</v>
      </c>
      <c r="D44" s="9"/>
      <c r="E44" s="12">
        <v>5000</v>
      </c>
    </row>
    <row r="45" spans="1:5" x14ac:dyDescent="0.2">
      <c r="A45" s="14"/>
      <c r="B45" s="9"/>
      <c r="C45" s="9"/>
      <c r="D45" s="9"/>
      <c r="E45" s="12"/>
    </row>
    <row r="46" spans="1:5" x14ac:dyDescent="0.2">
      <c r="A46" s="14">
        <v>520.02</v>
      </c>
      <c r="B46" s="9"/>
      <c r="C46" s="9" t="s">
        <v>196</v>
      </c>
      <c r="D46" s="9"/>
      <c r="E46" s="12">
        <v>3000</v>
      </c>
    </row>
    <row r="47" spans="1:5" x14ac:dyDescent="0.2">
      <c r="A47" s="14"/>
      <c r="B47" s="9"/>
      <c r="C47" s="9"/>
      <c r="D47" s="9"/>
      <c r="E47" s="12"/>
    </row>
    <row r="48" spans="1:5" x14ac:dyDescent="0.2">
      <c r="A48" s="14">
        <v>520.03</v>
      </c>
      <c r="B48" s="9"/>
      <c r="C48" s="9" t="s">
        <v>897</v>
      </c>
      <c r="D48" s="9"/>
      <c r="E48" s="12">
        <v>1500</v>
      </c>
    </row>
    <row r="49" spans="1:5" x14ac:dyDescent="0.2">
      <c r="A49" s="14"/>
      <c r="B49" s="9"/>
      <c r="C49" s="9"/>
      <c r="D49" s="9"/>
      <c r="E49" s="12"/>
    </row>
    <row r="50" spans="1:5" x14ac:dyDescent="0.2">
      <c r="A50" s="14">
        <v>520.1</v>
      </c>
      <c r="B50" s="9"/>
      <c r="C50" s="9" t="s">
        <v>375</v>
      </c>
      <c r="D50" s="9"/>
      <c r="E50" s="12">
        <v>600</v>
      </c>
    </row>
    <row r="51" spans="1:5" x14ac:dyDescent="0.2">
      <c r="A51" s="14"/>
      <c r="B51" s="9"/>
      <c r="C51" s="9"/>
      <c r="D51" s="9"/>
      <c r="E51" s="12"/>
    </row>
    <row r="52" spans="1:5" x14ac:dyDescent="0.2">
      <c r="A52" s="14">
        <v>520.11</v>
      </c>
      <c r="B52" s="9"/>
      <c r="C52" s="9" t="s">
        <v>22</v>
      </c>
      <c r="D52" s="9"/>
      <c r="E52" s="12">
        <v>500</v>
      </c>
    </row>
    <row r="53" spans="1:5" x14ac:dyDescent="0.2">
      <c r="A53" s="14"/>
      <c r="B53" s="9"/>
      <c r="C53" s="9"/>
      <c r="D53" s="9"/>
      <c r="E53" s="12"/>
    </row>
    <row r="54" spans="1:5" x14ac:dyDescent="0.2">
      <c r="A54" s="14">
        <v>530.01</v>
      </c>
      <c r="B54" s="9"/>
      <c r="C54" s="9" t="s">
        <v>201</v>
      </c>
      <c r="D54" s="9"/>
      <c r="E54" s="12">
        <v>10500</v>
      </c>
    </row>
    <row r="55" spans="1:5" x14ac:dyDescent="0.2">
      <c r="A55" s="14"/>
      <c r="B55" s="9"/>
      <c r="C55" s="9" t="s">
        <v>1074</v>
      </c>
      <c r="D55" s="9"/>
      <c r="E55" s="12">
        <v>4700</v>
      </c>
    </row>
    <row r="56" spans="1:5" x14ac:dyDescent="0.2">
      <c r="A56" s="14"/>
      <c r="B56" s="9"/>
      <c r="C56" s="9" t="s">
        <v>673</v>
      </c>
      <c r="D56" s="9"/>
      <c r="E56" s="13">
        <v>500</v>
      </c>
    </row>
    <row r="57" spans="1:5" x14ac:dyDescent="0.2">
      <c r="A57" s="14"/>
      <c r="B57" s="9"/>
      <c r="C57" s="9" t="s">
        <v>13</v>
      </c>
      <c r="D57" s="9"/>
      <c r="E57" s="12">
        <f>SUM(E54:E56)</f>
        <v>15700</v>
      </c>
    </row>
    <row r="58" spans="1:5" x14ac:dyDescent="0.2">
      <c r="A58" s="14"/>
      <c r="B58" s="9"/>
      <c r="C58" s="9"/>
      <c r="D58" s="9"/>
      <c r="E58" s="12"/>
    </row>
    <row r="59" spans="1:5" x14ac:dyDescent="0.2">
      <c r="A59" s="14">
        <v>530.02</v>
      </c>
      <c r="B59" s="9"/>
      <c r="C59" s="9" t="s">
        <v>515</v>
      </c>
      <c r="D59" s="9"/>
      <c r="E59" s="12">
        <v>3000</v>
      </c>
    </row>
    <row r="60" spans="1:5" x14ac:dyDescent="0.2">
      <c r="A60" s="14"/>
      <c r="B60" s="9"/>
      <c r="C60" s="9" t="s">
        <v>376</v>
      </c>
      <c r="D60" s="9"/>
      <c r="E60" s="13">
        <v>792</v>
      </c>
    </row>
    <row r="61" spans="1:5" x14ac:dyDescent="0.2">
      <c r="A61" s="14"/>
      <c r="B61" s="9"/>
      <c r="C61" s="9" t="s">
        <v>13</v>
      </c>
      <c r="D61" s="9"/>
      <c r="E61" s="12">
        <f>SUM(E59:E60)</f>
        <v>3792</v>
      </c>
    </row>
    <row r="62" spans="1:5" x14ac:dyDescent="0.2">
      <c r="A62" s="14"/>
      <c r="B62" s="9"/>
      <c r="C62" s="9"/>
      <c r="D62" s="9"/>
      <c r="E62" s="12"/>
    </row>
    <row r="63" spans="1:5" x14ac:dyDescent="0.2">
      <c r="A63" s="14">
        <v>530.03</v>
      </c>
      <c r="B63" s="9"/>
      <c r="C63" s="9" t="s">
        <v>377</v>
      </c>
      <c r="D63" s="9"/>
      <c r="E63" s="12">
        <v>22000</v>
      </c>
    </row>
    <row r="64" spans="1:5" x14ac:dyDescent="0.2">
      <c r="A64" s="14"/>
      <c r="B64" s="9"/>
      <c r="C64" s="9" t="s">
        <v>674</v>
      </c>
      <c r="D64" s="9"/>
      <c r="E64" s="13">
        <v>120</v>
      </c>
    </row>
    <row r="65" spans="1:5" x14ac:dyDescent="0.2">
      <c r="A65" s="14"/>
      <c r="B65" s="9"/>
      <c r="C65" s="9" t="s">
        <v>13</v>
      </c>
      <c r="D65" s="9"/>
      <c r="E65" s="12">
        <f>SUM(E63:E64)</f>
        <v>22120</v>
      </c>
    </row>
    <row r="66" spans="1:5" x14ac:dyDescent="0.2">
      <c r="A66" s="14"/>
      <c r="B66" s="9"/>
      <c r="C66" s="9"/>
      <c r="D66" s="9"/>
      <c r="E66" s="12"/>
    </row>
    <row r="67" spans="1:5" x14ac:dyDescent="0.2">
      <c r="A67" s="14">
        <v>530.11</v>
      </c>
      <c r="B67" s="9"/>
      <c r="C67" s="9" t="s">
        <v>633</v>
      </c>
      <c r="D67" s="9"/>
      <c r="E67" s="12">
        <v>11000</v>
      </c>
    </row>
    <row r="68" spans="1:5" x14ac:dyDescent="0.2">
      <c r="A68" s="14"/>
      <c r="B68" s="9"/>
      <c r="C68" s="9"/>
      <c r="D68" s="9"/>
      <c r="E68" s="12"/>
    </row>
    <row r="69" spans="1:5" x14ac:dyDescent="0.2">
      <c r="A69" s="14">
        <v>530.13</v>
      </c>
      <c r="B69" s="9"/>
      <c r="C69" s="9" t="s">
        <v>861</v>
      </c>
      <c r="D69" s="9"/>
      <c r="E69" s="12">
        <f>1175*12</f>
        <v>14100</v>
      </c>
    </row>
    <row r="70" spans="1:5" x14ac:dyDescent="0.2">
      <c r="A70" s="14"/>
      <c r="B70" s="9"/>
      <c r="C70" s="9" t="s">
        <v>378</v>
      </c>
      <c r="D70" s="9"/>
      <c r="E70" s="12">
        <v>900</v>
      </c>
    </row>
    <row r="71" spans="1:5" x14ac:dyDescent="0.2">
      <c r="A71" s="14"/>
      <c r="B71" s="9"/>
      <c r="C71" s="9" t="s">
        <v>714</v>
      </c>
      <c r="D71" s="9"/>
      <c r="E71" s="12"/>
    </row>
    <row r="72" spans="1:5" x14ac:dyDescent="0.2">
      <c r="A72" s="14"/>
      <c r="B72" s="9"/>
      <c r="C72" s="9" t="s">
        <v>720</v>
      </c>
      <c r="D72" s="9"/>
      <c r="E72" s="12">
        <v>425</v>
      </c>
    </row>
    <row r="73" spans="1:5" x14ac:dyDescent="0.2">
      <c r="A73" s="14"/>
      <c r="B73" s="9"/>
      <c r="C73" s="9" t="s">
        <v>721</v>
      </c>
      <c r="D73" s="9"/>
      <c r="E73" s="12">
        <v>375</v>
      </c>
    </row>
    <row r="74" spans="1:5" x14ac:dyDescent="0.2">
      <c r="A74" s="14"/>
      <c r="B74" s="9"/>
      <c r="C74" s="9" t="s">
        <v>722</v>
      </c>
      <c r="D74" s="9"/>
      <c r="E74" s="12">
        <v>700</v>
      </c>
    </row>
    <row r="75" spans="1:5" x14ac:dyDescent="0.2">
      <c r="A75" s="14"/>
      <c r="B75" s="9"/>
      <c r="C75" s="9" t="s">
        <v>723</v>
      </c>
      <c r="D75" s="9"/>
      <c r="E75" s="12">
        <v>1450</v>
      </c>
    </row>
    <row r="76" spans="1:5" x14ac:dyDescent="0.2">
      <c r="A76" s="14"/>
      <c r="B76" s="9"/>
      <c r="C76" s="9" t="s">
        <v>724</v>
      </c>
      <c r="D76" s="9"/>
      <c r="E76" s="12">
        <v>950</v>
      </c>
    </row>
    <row r="77" spans="1:5" x14ac:dyDescent="0.2">
      <c r="A77" s="14"/>
      <c r="B77" s="9"/>
      <c r="C77" s="9" t="s">
        <v>725</v>
      </c>
      <c r="D77" s="9"/>
      <c r="E77" s="12">
        <v>450</v>
      </c>
    </row>
    <row r="78" spans="1:5" x14ac:dyDescent="0.2">
      <c r="A78" s="14"/>
      <c r="B78" s="9"/>
      <c r="C78" s="9" t="s">
        <v>726</v>
      </c>
      <c r="D78" s="9"/>
      <c r="E78" s="12">
        <v>1400</v>
      </c>
    </row>
    <row r="79" spans="1:5" x14ac:dyDescent="0.2">
      <c r="A79" s="14"/>
      <c r="B79" s="9"/>
      <c r="C79" s="9" t="s">
        <v>727</v>
      </c>
      <c r="D79" s="9"/>
      <c r="E79" s="12">
        <v>185</v>
      </c>
    </row>
    <row r="80" spans="1:5" x14ac:dyDescent="0.2">
      <c r="A80" s="14"/>
      <c r="B80" s="9"/>
      <c r="C80" s="9" t="s">
        <v>728</v>
      </c>
      <c r="D80" s="9"/>
      <c r="E80" s="12">
        <v>60</v>
      </c>
    </row>
    <row r="81" spans="1:5" x14ac:dyDescent="0.2">
      <c r="A81" s="14"/>
      <c r="B81" s="9"/>
      <c r="C81" s="9" t="s">
        <v>729</v>
      </c>
      <c r="D81" s="9"/>
      <c r="E81" s="12">
        <v>125</v>
      </c>
    </row>
    <row r="82" spans="1:5" x14ac:dyDescent="0.2">
      <c r="A82" s="14"/>
      <c r="B82" s="9"/>
      <c r="C82" s="9" t="s">
        <v>379</v>
      </c>
      <c r="D82" s="9"/>
      <c r="E82" s="13">
        <v>880</v>
      </c>
    </row>
    <row r="83" spans="1:5" x14ac:dyDescent="0.2">
      <c r="A83" s="14"/>
      <c r="B83" s="9"/>
      <c r="C83" s="9" t="s">
        <v>13</v>
      </c>
      <c r="D83" s="9"/>
      <c r="E83" s="12">
        <f>SUM(E69:E82)</f>
        <v>22000</v>
      </c>
    </row>
    <row r="84" spans="1:5" x14ac:dyDescent="0.2">
      <c r="A84" s="14"/>
      <c r="B84" s="9"/>
      <c r="C84" s="9"/>
      <c r="D84" s="9"/>
      <c r="E84" s="12"/>
    </row>
    <row r="85" spans="1:5" x14ac:dyDescent="0.2">
      <c r="A85" s="14">
        <v>540.01</v>
      </c>
      <c r="B85" s="9"/>
      <c r="C85" s="9" t="s">
        <v>380</v>
      </c>
      <c r="D85" s="9"/>
      <c r="E85" s="12">
        <v>1000</v>
      </c>
    </row>
    <row r="86" spans="1:5" x14ac:dyDescent="0.2">
      <c r="A86" s="14"/>
      <c r="B86" s="9"/>
      <c r="C86" s="9" t="s">
        <v>1059</v>
      </c>
      <c r="D86" s="9"/>
      <c r="E86" s="12">
        <v>100000</v>
      </c>
    </row>
    <row r="87" spans="1:5" x14ac:dyDescent="0.2">
      <c r="A87" s="14"/>
      <c r="B87" s="9"/>
      <c r="C87" s="9" t="s">
        <v>381</v>
      </c>
      <c r="D87" s="9"/>
      <c r="E87" s="13">
        <v>2000</v>
      </c>
    </row>
    <row r="88" spans="1:5" x14ac:dyDescent="0.2">
      <c r="A88" s="14"/>
      <c r="B88" s="9"/>
      <c r="C88" s="9" t="s">
        <v>13</v>
      </c>
      <c r="D88" s="9"/>
      <c r="E88" s="12">
        <f>SUM(E85:E87)</f>
        <v>103000</v>
      </c>
    </row>
    <row r="89" spans="1:5" x14ac:dyDescent="0.2">
      <c r="A89" s="14"/>
      <c r="B89" s="9"/>
      <c r="C89" s="9"/>
      <c r="D89" s="9"/>
      <c r="E89" s="12"/>
    </row>
    <row r="90" spans="1:5" x14ac:dyDescent="0.2">
      <c r="A90" s="14">
        <v>550.05999999999995</v>
      </c>
      <c r="B90" s="9"/>
      <c r="C90" s="9" t="s">
        <v>675</v>
      </c>
      <c r="D90" s="9"/>
      <c r="E90" s="12">
        <v>3500</v>
      </c>
    </row>
    <row r="91" spans="1:5" x14ac:dyDescent="0.2">
      <c r="A91" s="14"/>
      <c r="B91" s="9"/>
      <c r="C91" s="9"/>
      <c r="D91" s="9"/>
      <c r="E91" s="12"/>
    </row>
    <row r="92" spans="1:5" x14ac:dyDescent="0.2">
      <c r="A92" s="14">
        <v>560.02</v>
      </c>
      <c r="B92" s="9"/>
      <c r="C92" s="9" t="s">
        <v>382</v>
      </c>
      <c r="D92" s="9"/>
      <c r="E92" s="12">
        <v>250</v>
      </c>
    </row>
    <row r="93" spans="1:5" x14ac:dyDescent="0.2">
      <c r="A93" s="14"/>
      <c r="B93" s="9"/>
      <c r="C93" s="9" t="s">
        <v>383</v>
      </c>
      <c r="D93" s="9"/>
      <c r="E93" s="12">
        <v>600</v>
      </c>
    </row>
    <row r="94" spans="1:5" x14ac:dyDescent="0.2">
      <c r="A94" s="14"/>
      <c r="B94" s="9"/>
      <c r="C94" s="9" t="s">
        <v>384</v>
      </c>
      <c r="D94" s="9"/>
      <c r="E94" s="12">
        <v>100</v>
      </c>
    </row>
    <row r="95" spans="1:5" x14ac:dyDescent="0.2">
      <c r="A95" s="14"/>
      <c r="B95" s="9"/>
      <c r="C95" s="9" t="s">
        <v>385</v>
      </c>
      <c r="D95" s="9"/>
      <c r="E95" s="12">
        <v>950</v>
      </c>
    </row>
    <row r="96" spans="1:5" x14ac:dyDescent="0.2">
      <c r="A96" s="14"/>
      <c r="B96" s="9"/>
      <c r="C96" s="9" t="s">
        <v>386</v>
      </c>
      <c r="D96" s="9"/>
      <c r="E96" s="12">
        <v>85</v>
      </c>
    </row>
    <row r="97" spans="1:5" x14ac:dyDescent="0.2">
      <c r="A97" s="14"/>
      <c r="B97" s="9"/>
      <c r="C97" s="9" t="s">
        <v>387</v>
      </c>
      <c r="D97" s="9"/>
      <c r="E97" s="12">
        <v>100</v>
      </c>
    </row>
    <row r="98" spans="1:5" x14ac:dyDescent="0.2">
      <c r="A98" s="14"/>
      <c r="B98" s="9"/>
      <c r="C98" s="9" t="s">
        <v>388</v>
      </c>
      <c r="D98" s="9"/>
      <c r="E98" s="13">
        <v>300</v>
      </c>
    </row>
    <row r="99" spans="1:5" x14ac:dyDescent="0.2">
      <c r="A99" s="14"/>
      <c r="B99" s="9"/>
      <c r="C99" s="9" t="s">
        <v>13</v>
      </c>
      <c r="D99" s="9"/>
      <c r="E99" s="12">
        <f>SUM(E92:E98)</f>
        <v>2385</v>
      </c>
    </row>
    <row r="100" spans="1:5" x14ac:dyDescent="0.2">
      <c r="A100" s="14"/>
      <c r="B100" s="9"/>
      <c r="C100" s="9"/>
      <c r="D100" s="9"/>
      <c r="E100" s="12"/>
    </row>
    <row r="101" spans="1:5" x14ac:dyDescent="0.2">
      <c r="A101" s="14">
        <v>560.1</v>
      </c>
      <c r="B101" s="9"/>
      <c r="C101" s="9" t="s">
        <v>390</v>
      </c>
      <c r="D101" s="9"/>
      <c r="E101" s="12">
        <v>1300</v>
      </c>
    </row>
    <row r="102" spans="1:5" x14ac:dyDescent="0.2">
      <c r="A102" s="14"/>
      <c r="B102" s="9"/>
      <c r="C102" s="9"/>
      <c r="D102" s="9"/>
      <c r="E102" s="12"/>
    </row>
    <row r="103" spans="1:5" x14ac:dyDescent="0.2">
      <c r="A103" s="14">
        <v>560.11</v>
      </c>
      <c r="B103" s="9"/>
      <c r="C103" s="9" t="s">
        <v>389</v>
      </c>
      <c r="D103" s="9"/>
      <c r="E103" s="12">
        <v>1300</v>
      </c>
    </row>
    <row r="104" spans="1:5" x14ac:dyDescent="0.2">
      <c r="A104" s="9"/>
      <c r="B104" s="9"/>
      <c r="C104" s="9"/>
      <c r="D104" s="9"/>
      <c r="E104" s="12"/>
    </row>
    <row r="105" spans="1:5" x14ac:dyDescent="0.2">
      <c r="A105" s="9">
        <v>580.01</v>
      </c>
      <c r="B105" s="9"/>
      <c r="C105" s="58" t="s">
        <v>391</v>
      </c>
      <c r="D105" s="58"/>
      <c r="E105" s="59">
        <v>0</v>
      </c>
    </row>
    <row r="106" spans="1:5" x14ac:dyDescent="0.2">
      <c r="A106" s="9"/>
      <c r="B106" s="9"/>
      <c r="C106" s="15"/>
      <c r="D106" s="15"/>
      <c r="E106" s="16"/>
    </row>
    <row r="107" spans="1:5" x14ac:dyDescent="0.2">
      <c r="A107" s="15">
        <v>580.09</v>
      </c>
      <c r="B107" s="15"/>
      <c r="C107" s="9" t="s">
        <v>392</v>
      </c>
      <c r="D107" s="9"/>
      <c r="E107" s="12">
        <v>300</v>
      </c>
    </row>
    <row r="108" spans="1:5" x14ac:dyDescent="0.2">
      <c r="A108" s="9"/>
      <c r="B108" s="9"/>
      <c r="C108" s="9"/>
      <c r="D108" s="9"/>
      <c r="E108" s="12"/>
    </row>
    <row r="109" spans="1:5" x14ac:dyDescent="0.2">
      <c r="A109" s="9">
        <v>590.01</v>
      </c>
      <c r="B109" s="9"/>
      <c r="C109" s="9" t="s">
        <v>1014</v>
      </c>
      <c r="D109" s="9"/>
      <c r="E109" s="12">
        <v>1000</v>
      </c>
    </row>
    <row r="110" spans="1:5" x14ac:dyDescent="0.2">
      <c r="A110" s="9"/>
      <c r="B110" s="9"/>
      <c r="C110" s="9"/>
      <c r="D110" s="9"/>
      <c r="E110" s="12"/>
    </row>
    <row r="111" spans="1:5" x14ac:dyDescent="0.2">
      <c r="A111" s="9">
        <v>590.02</v>
      </c>
      <c r="B111" s="9"/>
      <c r="C111" s="9" t="s">
        <v>730</v>
      </c>
      <c r="D111" s="9"/>
      <c r="E111" s="12">
        <v>1500</v>
      </c>
    </row>
    <row r="112" spans="1:5" x14ac:dyDescent="0.2">
      <c r="A112" s="9"/>
      <c r="B112" s="9"/>
      <c r="C112" s="9" t="s">
        <v>1015</v>
      </c>
      <c r="D112" s="9"/>
      <c r="E112" s="13">
        <v>2000</v>
      </c>
    </row>
    <row r="113" spans="1:5" x14ac:dyDescent="0.2">
      <c r="A113" s="9"/>
      <c r="B113" s="9"/>
      <c r="C113" s="9" t="s">
        <v>13</v>
      </c>
      <c r="D113" s="9"/>
      <c r="E113" s="12">
        <f>SUM(E111:E112)</f>
        <v>3500</v>
      </c>
    </row>
    <row r="114" spans="1:5" x14ac:dyDescent="0.2">
      <c r="A114" s="9"/>
      <c r="B114" s="9"/>
      <c r="C114" s="9"/>
      <c r="D114" s="9"/>
      <c r="E114" s="12"/>
    </row>
    <row r="115" spans="1:5" x14ac:dyDescent="0.2">
      <c r="A115" s="9">
        <v>610.01</v>
      </c>
      <c r="B115" s="9"/>
      <c r="C115" s="9" t="s">
        <v>731</v>
      </c>
      <c r="D115" s="9"/>
      <c r="E115" s="12">
        <v>201000</v>
      </c>
    </row>
    <row r="116" spans="1:5" x14ac:dyDescent="0.2">
      <c r="A116" s="9"/>
      <c r="B116" s="9"/>
      <c r="C116" s="9" t="s">
        <v>866</v>
      </c>
      <c r="D116" s="9"/>
      <c r="E116" s="12"/>
    </row>
    <row r="117" spans="1:5" x14ac:dyDescent="0.2">
      <c r="A117" s="9"/>
      <c r="B117" s="9"/>
      <c r="C117" s="9" t="s">
        <v>1012</v>
      </c>
      <c r="D117" s="9"/>
      <c r="E117" s="12"/>
    </row>
    <row r="118" spans="1:5" x14ac:dyDescent="0.2">
      <c r="A118" s="9">
        <v>610.02</v>
      </c>
      <c r="B118" s="9"/>
      <c r="C118" s="9" t="s">
        <v>393</v>
      </c>
      <c r="D118" s="9"/>
      <c r="E118" s="12">
        <f>684000-5000</f>
        <v>679000</v>
      </c>
    </row>
    <row r="119" spans="1:5" x14ac:dyDescent="0.2">
      <c r="A119" s="9"/>
      <c r="B119" s="9"/>
      <c r="C119" s="9" t="s">
        <v>394</v>
      </c>
      <c r="D119" s="9"/>
      <c r="E119" s="13">
        <v>5000</v>
      </c>
    </row>
    <row r="120" spans="1:5" x14ac:dyDescent="0.2">
      <c r="A120" s="9"/>
      <c r="B120" s="9"/>
      <c r="C120" s="9" t="s">
        <v>13</v>
      </c>
      <c r="D120" s="9"/>
      <c r="E120" s="12">
        <f>SUM(E118:E119)</f>
        <v>684000</v>
      </c>
    </row>
    <row r="121" spans="1:5" x14ac:dyDescent="0.2">
      <c r="A121" s="9"/>
      <c r="B121" s="9"/>
      <c r="C121" s="9"/>
      <c r="D121" s="9"/>
      <c r="E121" s="12"/>
    </row>
    <row r="122" spans="1:5" x14ac:dyDescent="0.2">
      <c r="A122" s="9">
        <v>610.03</v>
      </c>
      <c r="B122" s="9"/>
      <c r="C122" s="9" t="s">
        <v>579</v>
      </c>
      <c r="D122" s="9"/>
      <c r="E122" s="80">
        <f>SUM(110000*1.1)</f>
        <v>121000.00000000001</v>
      </c>
    </row>
    <row r="123" spans="1:5" x14ac:dyDescent="0.2">
      <c r="A123" s="9"/>
      <c r="B123" s="9"/>
      <c r="C123" s="9"/>
      <c r="D123" s="9"/>
      <c r="E123" s="12"/>
    </row>
    <row r="124" spans="1:5" x14ac:dyDescent="0.2">
      <c r="A124" s="9">
        <v>610.05999999999995</v>
      </c>
      <c r="B124" s="9"/>
      <c r="C124" s="9" t="s">
        <v>1013</v>
      </c>
      <c r="D124" s="9"/>
      <c r="E124" s="12">
        <v>6821</v>
      </c>
    </row>
    <row r="125" spans="1:5" x14ac:dyDescent="0.2">
      <c r="A125" s="9"/>
      <c r="B125" s="9"/>
      <c r="C125" s="9"/>
      <c r="D125" s="9"/>
      <c r="E125" s="12"/>
    </row>
    <row r="126" spans="1:5" x14ac:dyDescent="0.2">
      <c r="A126" s="9">
        <v>610.07000000000005</v>
      </c>
      <c r="B126" s="9"/>
      <c r="C126" s="9" t="s">
        <v>395</v>
      </c>
      <c r="D126" s="9"/>
      <c r="E126" s="12">
        <v>5000</v>
      </c>
    </row>
    <row r="127" spans="1:5" x14ac:dyDescent="0.2">
      <c r="A127" s="9"/>
      <c r="B127" s="9"/>
      <c r="C127" s="9"/>
      <c r="D127" s="9"/>
      <c r="E127" s="12"/>
    </row>
    <row r="128" spans="1:5" x14ac:dyDescent="0.2">
      <c r="A128" s="9">
        <v>610.08000000000004</v>
      </c>
      <c r="B128" s="9"/>
      <c r="C128" s="9" t="s">
        <v>828</v>
      </c>
      <c r="D128" s="9"/>
      <c r="E128" s="12">
        <v>6000</v>
      </c>
    </row>
    <row r="129" spans="1:5" x14ac:dyDescent="0.2">
      <c r="A129" s="9"/>
      <c r="B129" s="9"/>
      <c r="C129" s="9" t="s">
        <v>586</v>
      </c>
      <c r="D129" s="9"/>
      <c r="E129" s="13">
        <v>15000</v>
      </c>
    </row>
    <row r="130" spans="1:5" x14ac:dyDescent="0.2">
      <c r="A130" s="9"/>
      <c r="B130" s="9"/>
      <c r="C130" s="9" t="s">
        <v>13</v>
      </c>
      <c r="D130" s="9"/>
      <c r="E130" s="12">
        <f>SUM(E128:E129)</f>
        <v>21000</v>
      </c>
    </row>
    <row r="131" spans="1:5" x14ac:dyDescent="0.2">
      <c r="A131" s="9"/>
      <c r="B131" s="9"/>
      <c r="C131" s="9"/>
      <c r="D131" s="9"/>
      <c r="E131" s="12"/>
    </row>
    <row r="132" spans="1:5" x14ac:dyDescent="0.2">
      <c r="A132" s="14">
        <v>610.1</v>
      </c>
      <c r="B132" s="9"/>
      <c r="C132" s="9" t="s">
        <v>689</v>
      </c>
      <c r="D132" s="9"/>
      <c r="E132" s="12">
        <v>96000</v>
      </c>
    </row>
    <row r="133" spans="1:5" x14ac:dyDescent="0.2">
      <c r="A133" s="9"/>
      <c r="B133" s="9"/>
      <c r="C133" s="9"/>
      <c r="D133" s="9"/>
      <c r="E133" s="12"/>
    </row>
    <row r="134" spans="1:5" x14ac:dyDescent="0.2">
      <c r="A134" s="9"/>
      <c r="B134" s="9"/>
      <c r="C134" s="9"/>
      <c r="D134" s="9"/>
      <c r="E134" s="12"/>
    </row>
    <row r="135" spans="1:5" x14ac:dyDescent="0.2">
      <c r="A135" s="9"/>
      <c r="B135" s="9"/>
      <c r="C135" s="9"/>
      <c r="D135" s="9"/>
      <c r="E135" s="12"/>
    </row>
    <row r="136" spans="1:5" x14ac:dyDescent="0.2">
      <c r="A136" s="9"/>
      <c r="B136" s="9"/>
      <c r="C136" s="9"/>
      <c r="D136" s="9"/>
      <c r="E136" s="12"/>
    </row>
    <row r="137" spans="1:5" x14ac:dyDescent="0.2">
      <c r="A137" s="9"/>
      <c r="B137" s="9"/>
      <c r="C137" s="9"/>
      <c r="D137" s="9"/>
      <c r="E137" s="12"/>
    </row>
    <row r="138" spans="1:5" x14ac:dyDescent="0.2">
      <c r="A138" s="9"/>
      <c r="B138" s="9"/>
      <c r="C138" s="9"/>
      <c r="D138" s="9"/>
      <c r="E138" s="12"/>
    </row>
    <row r="139" spans="1:5" x14ac:dyDescent="0.2">
      <c r="A139" s="9"/>
      <c r="B139" s="9"/>
      <c r="C139" s="9"/>
      <c r="D139" s="9"/>
      <c r="E139" s="12"/>
    </row>
    <row r="140" spans="1:5" x14ac:dyDescent="0.2">
      <c r="A140" s="9"/>
      <c r="B140" s="9"/>
      <c r="C140" s="9"/>
      <c r="D140" s="9"/>
      <c r="E140" s="12"/>
    </row>
    <row r="141" spans="1:5" x14ac:dyDescent="0.2">
      <c r="A141" s="9"/>
      <c r="B141" s="9"/>
      <c r="C141" s="15"/>
      <c r="D141" s="15"/>
      <c r="E141" s="16"/>
    </row>
    <row r="142" spans="1:5" x14ac:dyDescent="0.2">
      <c r="A142" s="15"/>
      <c r="B142" s="15"/>
      <c r="C142" s="15"/>
      <c r="D142" s="15"/>
      <c r="E142" s="16"/>
    </row>
    <row r="143" spans="1:5" x14ac:dyDescent="0.2">
      <c r="A143" s="15"/>
      <c r="B143" s="15"/>
      <c r="C143" s="15"/>
      <c r="D143" s="15"/>
      <c r="E143" s="16"/>
    </row>
    <row r="144" spans="1:5" x14ac:dyDescent="0.2">
      <c r="A144" s="15"/>
      <c r="B144" s="15"/>
      <c r="C144" s="15"/>
      <c r="D144" s="15"/>
      <c r="E144" s="16"/>
    </row>
    <row r="145" spans="1:5" x14ac:dyDescent="0.2">
      <c r="A145" s="15"/>
      <c r="B145" s="15"/>
      <c r="C145" s="15"/>
      <c r="D145" s="15"/>
      <c r="E145" s="16"/>
    </row>
    <row r="146" spans="1:5" x14ac:dyDescent="0.2">
      <c r="A146" s="15"/>
      <c r="B146" s="15"/>
      <c r="C146" s="15"/>
      <c r="D146" s="15"/>
      <c r="E146" s="16"/>
    </row>
    <row r="147" spans="1:5" x14ac:dyDescent="0.2">
      <c r="A147" s="15"/>
      <c r="B147" s="15"/>
      <c r="C147" s="15"/>
      <c r="D147" s="15"/>
      <c r="E147" s="15"/>
    </row>
    <row r="148" spans="1:5" x14ac:dyDescent="0.2">
      <c r="A148" s="15"/>
      <c r="B148" s="15"/>
      <c r="C148" s="15"/>
      <c r="D148" s="15"/>
      <c r="E148" s="15"/>
    </row>
    <row r="149" spans="1:5" x14ac:dyDescent="0.2">
      <c r="A149" s="15"/>
      <c r="B149" s="15"/>
      <c r="C149" s="15"/>
      <c r="D149" s="15"/>
      <c r="E149" s="15"/>
    </row>
    <row r="150" spans="1:5" x14ac:dyDescent="0.2">
      <c r="A150" s="15"/>
      <c r="B150" s="15"/>
      <c r="C150" s="15"/>
      <c r="D150" s="15"/>
      <c r="E150" s="15"/>
    </row>
    <row r="151" spans="1:5" x14ac:dyDescent="0.2">
      <c r="A151" s="15"/>
      <c r="B151" s="15"/>
      <c r="C151" s="15"/>
      <c r="D151" s="15"/>
      <c r="E151" s="15"/>
    </row>
    <row r="152" spans="1:5" x14ac:dyDescent="0.2">
      <c r="A152" s="15"/>
      <c r="B152" s="15"/>
      <c r="C152" s="15"/>
      <c r="D152" s="15"/>
      <c r="E152" s="15"/>
    </row>
    <row r="153" spans="1:5" x14ac:dyDescent="0.2">
      <c r="A153" s="15"/>
      <c r="B153" s="15"/>
      <c r="C153" s="15"/>
      <c r="D153" s="15"/>
      <c r="E153" s="15"/>
    </row>
    <row r="154" spans="1:5" x14ac:dyDescent="0.2">
      <c r="A154" s="15"/>
      <c r="B154" s="15"/>
      <c r="C154" s="15"/>
      <c r="D154" s="15"/>
      <c r="E154" s="15"/>
    </row>
    <row r="155" spans="1:5" x14ac:dyDescent="0.2">
      <c r="A155" s="15"/>
      <c r="B155" s="15"/>
      <c r="C155" s="15"/>
      <c r="D155" s="15"/>
      <c r="E155" s="15"/>
    </row>
    <row r="156" spans="1:5" x14ac:dyDescent="0.2">
      <c r="A156" s="15"/>
      <c r="B156" s="15"/>
    </row>
  </sheetData>
  <phoneticPr fontId="0" type="noConversion"/>
  <printOptions headings="1" gridLines="1"/>
  <pageMargins left="0.75" right="0.75" top="1" bottom="1" header="0.5" footer="0.5"/>
  <pageSetup scale="78" orientation="portrait" r:id="rId1"/>
  <headerFooter alignWithMargins="0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zoomScaleNormal="100" workbookViewId="0">
      <selection activeCell="I34" sqref="I34"/>
    </sheetView>
  </sheetViews>
  <sheetFormatPr defaultRowHeight="12.75" x14ac:dyDescent="0.2"/>
  <cols>
    <col min="3" max="3" width="9.140625" hidden="1" customWidth="1"/>
    <col min="4" max="4" width="9.140625" customWidth="1"/>
    <col min="9" max="9" width="10.140625" style="85" bestFit="1" customWidth="1"/>
    <col min="11" max="11" width="10.140625" style="74" bestFit="1" customWidth="1"/>
  </cols>
  <sheetData>
    <row r="2" spans="1:11" x14ac:dyDescent="0.2">
      <c r="A2" t="s">
        <v>396</v>
      </c>
    </row>
    <row r="4" spans="1:11" x14ac:dyDescent="0.2">
      <c r="A4" t="s">
        <v>360</v>
      </c>
      <c r="B4" t="s">
        <v>361</v>
      </c>
      <c r="I4" s="86" t="s">
        <v>847</v>
      </c>
    </row>
    <row r="5" spans="1:11" x14ac:dyDescent="0.2">
      <c r="A5" t="s">
        <v>362</v>
      </c>
      <c r="B5" t="s">
        <v>406</v>
      </c>
      <c r="G5" s="26" t="s">
        <v>847</v>
      </c>
      <c r="I5" s="86" t="s">
        <v>862</v>
      </c>
    </row>
    <row r="6" spans="1:11" x14ac:dyDescent="0.2">
      <c r="E6" s="27" t="s">
        <v>849</v>
      </c>
      <c r="F6" s="27"/>
      <c r="G6" s="27" t="s">
        <v>937</v>
      </c>
      <c r="I6" s="87" t="s">
        <v>937</v>
      </c>
    </row>
    <row r="7" spans="1:11" x14ac:dyDescent="0.2">
      <c r="A7" s="17" t="s">
        <v>397</v>
      </c>
      <c r="E7" s="18" t="s">
        <v>398</v>
      </c>
      <c r="F7" s="18"/>
      <c r="G7" s="18" t="s">
        <v>398</v>
      </c>
      <c r="I7" s="88" t="s">
        <v>952</v>
      </c>
      <c r="K7" s="82"/>
    </row>
    <row r="9" spans="1:11" x14ac:dyDescent="0.2">
      <c r="A9" t="s">
        <v>420</v>
      </c>
      <c r="C9" s="26" t="s">
        <v>950</v>
      </c>
      <c r="E9" s="19">
        <f>((2080*33.76)/12)</f>
        <v>5851.7333333333336</v>
      </c>
      <c r="F9" s="19"/>
      <c r="G9" s="19">
        <f>((36.06*2080)/12)</f>
        <v>6250.4000000000005</v>
      </c>
      <c r="H9" s="19"/>
      <c r="I9" s="55">
        <f>SUM(G9*12)-5</f>
        <v>74999.8</v>
      </c>
    </row>
    <row r="10" spans="1:11" x14ac:dyDescent="0.2">
      <c r="E10" s="19"/>
      <c r="F10" s="19"/>
      <c r="G10" s="19"/>
      <c r="H10" s="19"/>
      <c r="I10" s="55"/>
    </row>
    <row r="11" spans="1:11" x14ac:dyDescent="0.2">
      <c r="A11" s="26" t="s">
        <v>939</v>
      </c>
      <c r="C11" s="26" t="s">
        <v>938</v>
      </c>
      <c r="E11" s="19">
        <f>((2080*27.57)/12)</f>
        <v>4778.8</v>
      </c>
      <c r="F11" s="19"/>
      <c r="G11" s="19">
        <f>((27.57*2080)/12)*1.02</f>
        <v>4874.3760000000002</v>
      </c>
      <c r="H11" s="19"/>
      <c r="I11" s="55">
        <f>SUM(G11*12)</f>
        <v>58492.512000000002</v>
      </c>
    </row>
    <row r="12" spans="1:11" x14ac:dyDescent="0.2">
      <c r="E12" s="19"/>
      <c r="F12" s="19"/>
      <c r="G12" s="19"/>
      <c r="H12" s="19"/>
      <c r="I12" s="55"/>
    </row>
    <row r="13" spans="1:11" x14ac:dyDescent="0.2">
      <c r="A13" s="26" t="s">
        <v>421</v>
      </c>
      <c r="C13" s="26" t="s">
        <v>941</v>
      </c>
      <c r="E13" s="19">
        <f>((2080*27.57)/12)</f>
        <v>4778.8</v>
      </c>
      <c r="F13" s="19"/>
      <c r="G13" s="19">
        <f>((27.57*2080)/12)*1.02</f>
        <v>4874.3760000000002</v>
      </c>
      <c r="H13" s="19"/>
      <c r="I13" s="55">
        <f>SUM(G13*12)</f>
        <v>58492.512000000002</v>
      </c>
    </row>
    <row r="14" spans="1:11" x14ac:dyDescent="0.2">
      <c r="E14" s="19"/>
      <c r="F14" s="19"/>
      <c r="G14" s="19"/>
      <c r="H14" s="19"/>
      <c r="I14" s="55"/>
    </row>
    <row r="15" spans="1:11" x14ac:dyDescent="0.2">
      <c r="A15" t="s">
        <v>733</v>
      </c>
      <c r="C15" s="26" t="s">
        <v>940</v>
      </c>
      <c r="E15" s="19">
        <f>((2080*26.27)/12)</f>
        <v>4553.4666666666662</v>
      </c>
      <c r="F15" s="19"/>
      <c r="G15" s="19">
        <f>((26.27*2080)/12)*1.02</f>
        <v>4644.5360000000001</v>
      </c>
      <c r="H15" s="19"/>
      <c r="I15" s="55">
        <f>SUM(G15*12)</f>
        <v>55734.432000000001</v>
      </c>
    </row>
    <row r="16" spans="1:11" x14ac:dyDescent="0.2">
      <c r="E16" s="19"/>
      <c r="F16" s="19"/>
      <c r="G16" s="19"/>
      <c r="H16" s="19"/>
      <c r="I16" s="55"/>
    </row>
    <row r="17" spans="1:10" x14ac:dyDescent="0.2">
      <c r="A17" t="s">
        <v>422</v>
      </c>
      <c r="C17" s="26" t="s">
        <v>942</v>
      </c>
      <c r="E17" s="19">
        <f>((2080*22.56)/12)</f>
        <v>3910.3999999999996</v>
      </c>
      <c r="F17" s="19"/>
      <c r="G17" s="19">
        <f>((25.07*2080)/12)*1.02</f>
        <v>4432.3759999999993</v>
      </c>
      <c r="H17" s="19"/>
      <c r="I17" s="55">
        <f>SUM(G17*12)</f>
        <v>53188.511999999988</v>
      </c>
      <c r="J17" s="26"/>
    </row>
    <row r="18" spans="1:10" x14ac:dyDescent="0.2">
      <c r="E18" s="19"/>
      <c r="F18" s="19"/>
      <c r="G18" s="19"/>
      <c r="H18" s="19"/>
      <c r="I18" s="55"/>
    </row>
    <row r="19" spans="1:10" x14ac:dyDescent="0.2">
      <c r="A19" t="s">
        <v>422</v>
      </c>
      <c r="C19" s="26" t="s">
        <v>943</v>
      </c>
      <c r="E19" s="19">
        <f>((2080*20.51)/12)</f>
        <v>3555.0666666666671</v>
      </c>
      <c r="F19" s="19"/>
      <c r="G19" s="19">
        <f>((25.07*2080)/12)*1.02</f>
        <v>4432.3759999999993</v>
      </c>
      <c r="H19" s="19"/>
      <c r="I19" s="55">
        <f>SUM(G19*12)</f>
        <v>53188.511999999988</v>
      </c>
    </row>
    <row r="20" spans="1:10" x14ac:dyDescent="0.2">
      <c r="E20" s="19"/>
      <c r="F20" s="19"/>
      <c r="G20" s="19"/>
      <c r="H20" s="19"/>
      <c r="I20" s="55"/>
    </row>
    <row r="21" spans="1:10" x14ac:dyDescent="0.2">
      <c r="A21" s="26" t="s">
        <v>422</v>
      </c>
      <c r="C21" s="26" t="s">
        <v>948</v>
      </c>
      <c r="E21" s="19">
        <f>((2080*25.07)/12)</f>
        <v>4345.4666666666662</v>
      </c>
      <c r="F21" s="19"/>
      <c r="G21" s="19">
        <f>((25.07*2080)/12)*1.02</f>
        <v>4432.3759999999993</v>
      </c>
      <c r="H21" s="19"/>
      <c r="I21" s="55">
        <f>SUM(G21*12)</f>
        <v>53188.511999999988</v>
      </c>
    </row>
    <row r="22" spans="1:10" x14ac:dyDescent="0.2">
      <c r="E22" s="19"/>
      <c r="F22" s="19"/>
      <c r="G22" s="19"/>
      <c r="H22" s="19"/>
      <c r="I22" s="55"/>
    </row>
    <row r="23" spans="1:10" x14ac:dyDescent="0.2">
      <c r="A23" t="s">
        <v>423</v>
      </c>
      <c r="C23" s="26" t="s">
        <v>945</v>
      </c>
      <c r="E23" s="19">
        <f>((2080*18.36)/12)</f>
        <v>3182.3999999999996</v>
      </c>
      <c r="F23" s="19"/>
      <c r="G23" s="19">
        <f>(22.53*2080)/12</f>
        <v>3905.2000000000003</v>
      </c>
      <c r="H23" s="19"/>
      <c r="I23" s="55">
        <f>SUM(G23*12)</f>
        <v>46862.400000000001</v>
      </c>
      <c r="J23" s="26"/>
    </row>
    <row r="24" spans="1:10" x14ac:dyDescent="0.2">
      <c r="E24" s="19"/>
      <c r="F24" s="19"/>
      <c r="G24" s="19"/>
      <c r="H24" s="19"/>
      <c r="I24" s="55"/>
    </row>
    <row r="25" spans="1:10" x14ac:dyDescent="0.2">
      <c r="A25" t="s">
        <v>423</v>
      </c>
      <c r="C25" s="26" t="s">
        <v>944</v>
      </c>
      <c r="E25" s="19">
        <f>((2080*19.15)/12)</f>
        <v>3319.3333333333335</v>
      </c>
      <c r="F25" s="19"/>
      <c r="G25" s="19">
        <f>(22.53*2080)/12</f>
        <v>3905.2000000000003</v>
      </c>
      <c r="H25" s="19"/>
      <c r="I25" s="55">
        <f>SUM(G25*12)</f>
        <v>46862.400000000001</v>
      </c>
      <c r="J25" s="26"/>
    </row>
    <row r="26" spans="1:10" x14ac:dyDescent="0.2">
      <c r="C26" s="26"/>
      <c r="E26" s="19"/>
      <c r="F26" s="19"/>
      <c r="G26" s="19"/>
      <c r="H26" s="19"/>
      <c r="I26" s="55"/>
    </row>
    <row r="27" spans="1:10" x14ac:dyDescent="0.2">
      <c r="A27" s="26" t="s">
        <v>423</v>
      </c>
      <c r="C27" s="26" t="s">
        <v>946</v>
      </c>
      <c r="E27" s="19">
        <f>((2080*19.9)/12)</f>
        <v>3449.3333333333335</v>
      </c>
      <c r="F27" s="19"/>
      <c r="G27" s="19">
        <f>(22.53*2080)/12</f>
        <v>3905.2000000000003</v>
      </c>
      <c r="H27" s="19"/>
      <c r="I27" s="55">
        <f>SUM(G27*12)</f>
        <v>46862.400000000001</v>
      </c>
      <c r="J27" s="26"/>
    </row>
    <row r="28" spans="1:10" x14ac:dyDescent="0.2">
      <c r="E28" s="19"/>
      <c r="F28" s="19"/>
      <c r="G28" s="19"/>
      <c r="H28" s="19"/>
      <c r="I28" s="55"/>
    </row>
    <row r="29" spans="1:10" x14ac:dyDescent="0.2">
      <c r="A29" t="s">
        <v>424</v>
      </c>
      <c r="C29" s="26" t="s">
        <v>947</v>
      </c>
      <c r="E29" s="19">
        <f>((2080*17.34)/12)</f>
        <v>3005.6</v>
      </c>
      <c r="F29" s="19"/>
      <c r="G29" s="19">
        <f>(20*2080)/12</f>
        <v>3466.6666666666665</v>
      </c>
      <c r="H29" s="19"/>
      <c r="I29" s="55">
        <f>SUM(G29*12)</f>
        <v>41600</v>
      </c>
      <c r="J29" s="26"/>
    </row>
    <row r="30" spans="1:10" x14ac:dyDescent="0.2">
      <c r="E30" s="19"/>
      <c r="F30" s="19"/>
      <c r="G30" s="19"/>
      <c r="H30" s="19"/>
      <c r="I30" s="55"/>
    </row>
    <row r="31" spans="1:10" x14ac:dyDescent="0.2">
      <c r="A31" t="s">
        <v>425</v>
      </c>
      <c r="C31" s="26" t="s">
        <v>949</v>
      </c>
      <c r="E31" s="19">
        <f>((2080*17.92)/12)</f>
        <v>3106.1333333333337</v>
      </c>
      <c r="F31" s="19"/>
      <c r="G31" s="19">
        <f>((2080*17.92)/12)*1.02</f>
        <v>3168.2560000000003</v>
      </c>
      <c r="H31" s="19"/>
      <c r="I31" s="55">
        <f>SUM(G31*12)</f>
        <v>38019.072</v>
      </c>
    </row>
    <row r="32" spans="1:10" x14ac:dyDescent="0.2">
      <c r="E32" s="19"/>
      <c r="F32" s="19"/>
      <c r="G32" s="19"/>
      <c r="H32" s="19"/>
      <c r="I32" s="55"/>
    </row>
    <row r="33" spans="1:11" x14ac:dyDescent="0.2">
      <c r="A33" s="26" t="s">
        <v>951</v>
      </c>
      <c r="E33" s="71">
        <v>2333.3333333333335</v>
      </c>
      <c r="F33" s="72"/>
      <c r="G33" s="71">
        <v>2564.4</v>
      </c>
      <c r="H33" s="72"/>
      <c r="I33" s="89">
        <v>30772.73</v>
      </c>
      <c r="J33" s="73"/>
    </row>
    <row r="34" spans="1:11" x14ac:dyDescent="0.2">
      <c r="A34" s="26"/>
      <c r="B34" s="26" t="s">
        <v>954</v>
      </c>
      <c r="E34" s="72">
        <f>SUM(E5:E33)</f>
        <v>50169.866666666669</v>
      </c>
      <c r="F34" s="72"/>
      <c r="G34" s="72">
        <f>SUM(G5:G33)</f>
        <v>54855.738666666657</v>
      </c>
      <c r="H34" s="72"/>
      <c r="I34" s="90">
        <f>SUM(I6:I33)</f>
        <v>658263.79400000011</v>
      </c>
      <c r="J34" s="73"/>
    </row>
    <row r="35" spans="1:11" x14ac:dyDescent="0.2">
      <c r="A35" s="26"/>
      <c r="B35" s="26"/>
      <c r="E35" s="72"/>
      <c r="F35" s="19"/>
      <c r="G35" s="72"/>
      <c r="H35" s="19"/>
      <c r="I35" s="90"/>
    </row>
    <row r="36" spans="1:11" x14ac:dyDescent="0.2">
      <c r="A36" s="26"/>
      <c r="E36" s="19"/>
      <c r="F36" s="19"/>
      <c r="G36" s="19"/>
      <c r="H36" s="19"/>
      <c r="I36" s="56"/>
    </row>
    <row r="37" spans="1:11" x14ac:dyDescent="0.2">
      <c r="A37" s="26" t="s">
        <v>953</v>
      </c>
      <c r="E37" s="19">
        <v>0</v>
      </c>
      <c r="F37" s="19"/>
      <c r="G37" s="19">
        <f>(2080*20)/12</f>
        <v>3466.6666666666665</v>
      </c>
      <c r="H37" s="19"/>
      <c r="I37" s="56">
        <f>(2080*20)</f>
        <v>41600</v>
      </c>
    </row>
    <row r="38" spans="1:11" x14ac:dyDescent="0.2">
      <c r="E38" s="19"/>
      <c r="F38" s="19"/>
      <c r="G38" s="19"/>
      <c r="H38" s="19"/>
      <c r="I38" s="55"/>
    </row>
    <row r="39" spans="1:11" x14ac:dyDescent="0.2">
      <c r="A39" t="s">
        <v>403</v>
      </c>
      <c r="E39" s="69">
        <f>SUM(E34:E38)</f>
        <v>50169.866666666669</v>
      </c>
      <c r="F39" s="72"/>
      <c r="G39" s="69">
        <f t="shared" ref="G39:I39" si="0">SUM(G34:G38)</f>
        <v>58322.405333333321</v>
      </c>
      <c r="H39" s="72"/>
      <c r="I39" s="91">
        <f t="shared" si="0"/>
        <v>699863.79400000011</v>
      </c>
      <c r="J39" s="72"/>
      <c r="K39" s="72"/>
    </row>
    <row r="41" spans="1:11" x14ac:dyDescent="0.2">
      <c r="E41">
        <v>12</v>
      </c>
      <c r="G41">
        <v>12</v>
      </c>
    </row>
    <row r="42" spans="1:11" x14ac:dyDescent="0.2">
      <c r="A42" s="26" t="s">
        <v>952</v>
      </c>
      <c r="E42" s="70">
        <f>+E39*12</f>
        <v>602038.4</v>
      </c>
      <c r="G42" s="70">
        <f>+G39*12</f>
        <v>699868.86399999983</v>
      </c>
    </row>
    <row r="44" spans="1:11" x14ac:dyDescent="0.2">
      <c r="A44" s="26"/>
    </row>
    <row r="45" spans="1:11" x14ac:dyDescent="0.2">
      <c r="A45" s="26" t="s">
        <v>955</v>
      </c>
    </row>
    <row r="46" spans="1:11" x14ac:dyDescent="0.2">
      <c r="A46" s="26"/>
    </row>
  </sheetData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56" zoomScaleNormal="100" workbookViewId="0">
      <selection activeCell="E55" sqref="E55"/>
    </sheetView>
  </sheetViews>
  <sheetFormatPr defaultRowHeight="12.75" x14ac:dyDescent="0.2"/>
  <cols>
    <col min="3" max="3" width="42.28515625" customWidth="1"/>
  </cols>
  <sheetData>
    <row r="1" spans="1:7" x14ac:dyDescent="0.2">
      <c r="A1" s="9" t="s">
        <v>359</v>
      </c>
      <c r="B1" s="9"/>
      <c r="C1" s="9"/>
      <c r="D1" s="9"/>
      <c r="E1" s="9"/>
    </row>
    <row r="2" spans="1:7" x14ac:dyDescent="0.2">
      <c r="A2" s="9"/>
      <c r="B2" s="9"/>
      <c r="C2" s="9"/>
      <c r="D2" s="9"/>
      <c r="E2" s="9"/>
    </row>
    <row r="3" spans="1:7" x14ac:dyDescent="0.2">
      <c r="A3" s="9" t="s">
        <v>360</v>
      </c>
      <c r="B3" s="9"/>
      <c r="C3" s="9" t="s">
        <v>361</v>
      </c>
      <c r="D3" s="9"/>
      <c r="E3" s="9" t="s">
        <v>966</v>
      </c>
      <c r="G3" s="26"/>
    </row>
    <row r="4" spans="1:7" x14ac:dyDescent="0.2">
      <c r="A4" s="9" t="s">
        <v>362</v>
      </c>
      <c r="B4" s="9"/>
      <c r="C4" s="9" t="s">
        <v>406</v>
      </c>
      <c r="D4" s="9"/>
      <c r="E4" s="9" t="s">
        <v>859</v>
      </c>
      <c r="G4" s="26"/>
    </row>
    <row r="5" spans="1:7" x14ac:dyDescent="0.2">
      <c r="A5" s="9"/>
      <c r="B5" s="9"/>
      <c r="C5" s="9"/>
      <c r="D5" s="9"/>
      <c r="E5" s="9"/>
      <c r="G5" s="26" t="s">
        <v>968</v>
      </c>
    </row>
    <row r="6" spans="1:7" x14ac:dyDescent="0.2">
      <c r="A6" s="10" t="s">
        <v>364</v>
      </c>
      <c r="B6" s="9"/>
      <c r="C6" s="11" t="s">
        <v>365</v>
      </c>
      <c r="D6" s="9"/>
      <c r="E6" s="11" t="s">
        <v>366</v>
      </c>
      <c r="G6" s="75" t="s">
        <v>967</v>
      </c>
    </row>
    <row r="8" spans="1:7" x14ac:dyDescent="0.2">
      <c r="A8" s="14">
        <v>510.05</v>
      </c>
      <c r="B8" s="9"/>
      <c r="C8" s="9" t="s">
        <v>734</v>
      </c>
      <c r="D8" s="9"/>
      <c r="E8" s="12">
        <v>95136</v>
      </c>
    </row>
    <row r="9" spans="1:7" x14ac:dyDescent="0.2">
      <c r="A9" s="14"/>
      <c r="B9" s="9"/>
      <c r="C9" s="9" t="s">
        <v>735</v>
      </c>
      <c r="D9" s="9"/>
      <c r="E9" s="12">
        <v>3456</v>
      </c>
      <c r="G9" s="26"/>
    </row>
    <row r="10" spans="1:7" x14ac:dyDescent="0.2">
      <c r="A10" s="14"/>
      <c r="B10" s="9"/>
      <c r="C10" s="9" t="s">
        <v>525</v>
      </c>
      <c r="D10" s="9"/>
      <c r="E10" s="12">
        <f>(2908*1.015)</f>
        <v>2951.62</v>
      </c>
    </row>
    <row r="11" spans="1:7" x14ac:dyDescent="0.2">
      <c r="A11" s="14"/>
      <c r="B11" s="9"/>
      <c r="C11" s="9" t="s">
        <v>736</v>
      </c>
      <c r="D11" s="9"/>
      <c r="E11" s="12">
        <v>432</v>
      </c>
    </row>
    <row r="12" spans="1:7" x14ac:dyDescent="0.2">
      <c r="A12" s="14"/>
      <c r="B12" s="9"/>
      <c r="C12" s="9" t="s">
        <v>737</v>
      </c>
      <c r="D12" s="9"/>
      <c r="E12" s="13">
        <v>660</v>
      </c>
    </row>
    <row r="13" spans="1:7" x14ac:dyDescent="0.2">
      <c r="A13" s="14"/>
      <c r="B13" s="9"/>
      <c r="C13" s="9" t="s">
        <v>369</v>
      </c>
      <c r="D13" s="9"/>
      <c r="E13" s="12">
        <f>SUM(E8:E12)</f>
        <v>102635.62</v>
      </c>
    </row>
    <row r="14" spans="1:7" x14ac:dyDescent="0.2">
      <c r="A14" s="14"/>
      <c r="B14" s="9"/>
      <c r="C14" s="9"/>
      <c r="D14" s="9"/>
      <c r="E14" s="12"/>
    </row>
    <row r="15" spans="1:7" x14ac:dyDescent="0.2">
      <c r="A15" s="14">
        <v>510.06</v>
      </c>
      <c r="B15" s="9"/>
      <c r="C15" s="9" t="s">
        <v>373</v>
      </c>
      <c r="D15" s="9"/>
      <c r="E15" s="12">
        <f>(+'Personnel Sched-PD'!I39*0.0765)</f>
        <v>53539.580241000011</v>
      </c>
    </row>
    <row r="16" spans="1:7" x14ac:dyDescent="0.2">
      <c r="A16" s="14"/>
      <c r="B16" s="9"/>
      <c r="C16" s="9"/>
      <c r="D16" s="9"/>
      <c r="E16" s="12"/>
    </row>
    <row r="17" spans="1:5" x14ac:dyDescent="0.2">
      <c r="A17" s="14">
        <v>510.07</v>
      </c>
      <c r="B17" s="9"/>
      <c r="C17" s="9" t="s">
        <v>860</v>
      </c>
      <c r="D17" s="9"/>
      <c r="E17" s="12">
        <f>(+'Personnel Sched-PD'!I39*0.0502)</f>
        <v>35133.162458800005</v>
      </c>
    </row>
    <row r="18" spans="1:5" x14ac:dyDescent="0.2">
      <c r="A18" s="14"/>
      <c r="B18" s="9"/>
      <c r="C18" s="9"/>
      <c r="D18" s="9"/>
      <c r="E18" s="12"/>
    </row>
    <row r="19" spans="1:5" x14ac:dyDescent="0.2">
      <c r="A19" s="14">
        <v>510.08</v>
      </c>
      <c r="B19" s="9"/>
      <c r="C19" s="9" t="s">
        <v>843</v>
      </c>
      <c r="D19" s="9"/>
      <c r="E19" s="12">
        <f>(13145*1.015)</f>
        <v>13342.174999999999</v>
      </c>
    </row>
    <row r="20" spans="1:5" x14ac:dyDescent="0.2">
      <c r="A20" s="14"/>
      <c r="B20" s="9"/>
      <c r="C20" s="9" t="s">
        <v>842</v>
      </c>
      <c r="D20" s="9"/>
      <c r="E20" s="13">
        <f>(96*1.015)</f>
        <v>97.44</v>
      </c>
    </row>
    <row r="21" spans="1:5" x14ac:dyDescent="0.2">
      <c r="A21" s="14"/>
      <c r="B21" s="9"/>
      <c r="C21" s="9" t="s">
        <v>13</v>
      </c>
      <c r="D21" s="9"/>
      <c r="E21" s="12">
        <f>SUM(E19:E20)</f>
        <v>13439.615</v>
      </c>
    </row>
    <row r="22" spans="1:5" x14ac:dyDescent="0.2">
      <c r="A22" s="14"/>
      <c r="B22" s="9"/>
      <c r="C22" s="9"/>
      <c r="D22" s="9"/>
      <c r="E22" s="12"/>
    </row>
    <row r="23" spans="1:5" x14ac:dyDescent="0.2">
      <c r="A23" s="14">
        <v>510.09</v>
      </c>
      <c r="B23" s="9"/>
      <c r="C23" s="9" t="s">
        <v>664</v>
      </c>
      <c r="D23" s="9"/>
      <c r="E23" s="12"/>
    </row>
    <row r="24" spans="1:5" x14ac:dyDescent="0.2">
      <c r="A24" s="14"/>
      <c r="B24" s="9"/>
      <c r="C24" s="9" t="s">
        <v>738</v>
      </c>
      <c r="D24" s="9"/>
      <c r="E24" s="12">
        <v>10000</v>
      </c>
    </row>
    <row r="25" spans="1:5" x14ac:dyDescent="0.2">
      <c r="A25" s="14"/>
      <c r="B25" s="9"/>
      <c r="C25" s="9" t="s">
        <v>716</v>
      </c>
      <c r="D25" s="9"/>
      <c r="E25" s="12">
        <f>57.69*26</f>
        <v>1499.94</v>
      </c>
    </row>
    <row r="26" spans="1:5" x14ac:dyDescent="0.2">
      <c r="A26" s="14"/>
      <c r="B26" s="9"/>
      <c r="C26" s="9" t="s">
        <v>739</v>
      </c>
      <c r="D26" s="9"/>
      <c r="E26" s="12">
        <v>0</v>
      </c>
    </row>
    <row r="27" spans="1:5" x14ac:dyDescent="0.2">
      <c r="A27" s="14"/>
      <c r="B27" s="9"/>
      <c r="C27" s="9" t="s">
        <v>691</v>
      </c>
      <c r="D27" s="9"/>
      <c r="E27" s="13">
        <v>5869</v>
      </c>
    </row>
    <row r="28" spans="1:5" x14ac:dyDescent="0.2">
      <c r="A28" s="14"/>
      <c r="B28" s="9"/>
      <c r="C28" s="9" t="s">
        <v>13</v>
      </c>
      <c r="D28" s="9"/>
      <c r="E28" s="12">
        <f>SUM(E24:E27)</f>
        <v>17368.940000000002</v>
      </c>
    </row>
    <row r="29" spans="1:5" x14ac:dyDescent="0.2">
      <c r="A29" s="14"/>
      <c r="B29" s="9"/>
      <c r="C29" s="9"/>
      <c r="D29" s="9"/>
      <c r="E29" s="12"/>
    </row>
    <row r="30" spans="1:5" x14ac:dyDescent="0.2">
      <c r="A30" s="14">
        <v>510.11</v>
      </c>
      <c r="B30" s="9"/>
      <c r="C30" s="9" t="s">
        <v>534</v>
      </c>
      <c r="D30" s="9"/>
      <c r="E30" s="12">
        <v>0</v>
      </c>
    </row>
    <row r="31" spans="1:5" x14ac:dyDescent="0.2">
      <c r="A31" s="14"/>
      <c r="B31" s="9"/>
      <c r="C31" s="9"/>
      <c r="D31" s="9"/>
      <c r="E31" s="12"/>
    </row>
    <row r="32" spans="1:5" x14ac:dyDescent="0.2">
      <c r="A32" s="14">
        <v>510.12</v>
      </c>
      <c r="B32" s="9"/>
      <c r="C32" s="9" t="s">
        <v>692</v>
      </c>
      <c r="D32" s="9"/>
      <c r="E32" s="12">
        <v>12000</v>
      </c>
    </row>
    <row r="33" spans="1:7" x14ac:dyDescent="0.2">
      <c r="A33" s="14"/>
      <c r="B33" s="9"/>
      <c r="C33" s="9"/>
      <c r="D33" s="9"/>
      <c r="E33" s="12"/>
    </row>
    <row r="34" spans="1:7" x14ac:dyDescent="0.2">
      <c r="A34" s="14">
        <v>520.01</v>
      </c>
      <c r="B34" s="9"/>
      <c r="C34" s="9" t="s">
        <v>521</v>
      </c>
      <c r="D34" s="9"/>
      <c r="E34" s="12">
        <v>3000</v>
      </c>
      <c r="G34" s="39">
        <f>+E34</f>
        <v>3000</v>
      </c>
    </row>
    <row r="35" spans="1:7" x14ac:dyDescent="0.2">
      <c r="A35" s="14"/>
      <c r="B35" s="9"/>
      <c r="C35" s="9"/>
      <c r="D35" s="9"/>
      <c r="E35" s="12"/>
    </row>
    <row r="36" spans="1:7" x14ac:dyDescent="0.2">
      <c r="A36" s="14">
        <v>520.02</v>
      </c>
      <c r="B36" s="9"/>
      <c r="C36" s="9" t="s">
        <v>196</v>
      </c>
      <c r="D36" s="9"/>
      <c r="E36" s="12">
        <v>400</v>
      </c>
      <c r="G36" s="39">
        <v>400</v>
      </c>
    </row>
    <row r="37" spans="1:7" x14ac:dyDescent="0.2">
      <c r="A37" s="14">
        <v>520.03</v>
      </c>
      <c r="B37" s="9"/>
      <c r="C37" s="9" t="s">
        <v>894</v>
      </c>
      <c r="D37" s="9"/>
      <c r="E37" s="12">
        <v>500</v>
      </c>
      <c r="G37" s="39">
        <v>500</v>
      </c>
    </row>
    <row r="38" spans="1:7" x14ac:dyDescent="0.2">
      <c r="A38" s="14"/>
      <c r="B38" s="9"/>
      <c r="C38" s="9"/>
      <c r="D38" s="9"/>
      <c r="E38" s="12"/>
      <c r="G38" s="39"/>
    </row>
    <row r="39" spans="1:7" x14ac:dyDescent="0.2">
      <c r="A39" s="14">
        <v>520.04</v>
      </c>
      <c r="B39" s="9"/>
      <c r="C39" s="9" t="s">
        <v>956</v>
      </c>
      <c r="D39" s="9"/>
      <c r="E39" s="12">
        <v>2500</v>
      </c>
      <c r="G39" s="39">
        <f t="shared" ref="G39:G91" si="0">+E39</f>
        <v>2500</v>
      </c>
    </row>
    <row r="40" spans="1:7" x14ac:dyDescent="0.2">
      <c r="A40" s="14"/>
      <c r="B40" s="9"/>
      <c r="C40" s="9" t="s">
        <v>740</v>
      </c>
      <c r="D40" s="9"/>
      <c r="E40" s="59">
        <v>3300</v>
      </c>
      <c r="F40" s="26" t="s">
        <v>867</v>
      </c>
      <c r="G40" s="39">
        <f t="shared" si="0"/>
        <v>3300</v>
      </c>
    </row>
    <row r="41" spans="1:7" x14ac:dyDescent="0.2">
      <c r="A41" s="14"/>
      <c r="B41" s="9"/>
      <c r="C41" s="9" t="s">
        <v>741</v>
      </c>
      <c r="D41" s="9"/>
      <c r="E41" s="12">
        <v>1200</v>
      </c>
      <c r="G41" s="39">
        <f t="shared" si="0"/>
        <v>1200</v>
      </c>
    </row>
    <row r="42" spans="1:7" x14ac:dyDescent="0.2">
      <c r="A42" s="14"/>
      <c r="B42" s="9"/>
      <c r="C42" s="9" t="s">
        <v>427</v>
      </c>
      <c r="D42" s="9"/>
      <c r="E42" s="13">
        <v>1500</v>
      </c>
      <c r="G42" s="39">
        <f t="shared" si="0"/>
        <v>1500</v>
      </c>
    </row>
    <row r="43" spans="1:7" x14ac:dyDescent="0.2">
      <c r="A43" s="14"/>
      <c r="B43" s="9"/>
      <c r="C43" s="9" t="s">
        <v>13</v>
      </c>
      <c r="D43" s="9"/>
      <c r="E43" s="12">
        <f>SUM(E39:E42)</f>
        <v>8500</v>
      </c>
      <c r="G43" s="39"/>
    </row>
    <row r="44" spans="1:7" x14ac:dyDescent="0.2">
      <c r="A44" s="14"/>
      <c r="B44" s="9"/>
      <c r="C44" s="9"/>
      <c r="D44" s="9"/>
      <c r="E44" s="12"/>
      <c r="G44" s="39"/>
    </row>
    <row r="45" spans="1:7" x14ac:dyDescent="0.2">
      <c r="A45" s="14">
        <v>520.05999999999995</v>
      </c>
      <c r="B45" s="9"/>
      <c r="C45" s="9" t="s">
        <v>957</v>
      </c>
      <c r="D45" s="9"/>
      <c r="E45" s="12">
        <v>18000</v>
      </c>
      <c r="G45" s="39">
        <f t="shared" si="0"/>
        <v>18000</v>
      </c>
    </row>
    <row r="46" spans="1:7" x14ac:dyDescent="0.2">
      <c r="A46" s="14">
        <v>520.07000000000005</v>
      </c>
      <c r="B46" s="9"/>
      <c r="C46" s="9" t="s">
        <v>224</v>
      </c>
      <c r="D46" s="9"/>
      <c r="E46" s="12">
        <v>2000</v>
      </c>
      <c r="G46" s="39">
        <f t="shared" si="0"/>
        <v>2000</v>
      </c>
    </row>
    <row r="47" spans="1:7" x14ac:dyDescent="0.2">
      <c r="A47" s="14">
        <v>520.08000000000004</v>
      </c>
      <c r="B47" s="9"/>
      <c r="C47" s="9" t="s">
        <v>200</v>
      </c>
      <c r="D47" s="9"/>
      <c r="E47" s="12">
        <v>500</v>
      </c>
      <c r="G47" s="39">
        <f t="shared" si="0"/>
        <v>500</v>
      </c>
    </row>
    <row r="48" spans="1:7" x14ac:dyDescent="0.2">
      <c r="A48" s="14"/>
      <c r="B48" s="9"/>
      <c r="C48" s="9"/>
      <c r="D48" s="9"/>
      <c r="E48" s="12"/>
      <c r="G48" s="39"/>
    </row>
    <row r="49" spans="1:7" x14ac:dyDescent="0.2">
      <c r="A49" s="14">
        <v>530.01</v>
      </c>
      <c r="B49" s="9"/>
      <c r="C49" s="9" t="s">
        <v>627</v>
      </c>
      <c r="D49" s="9"/>
      <c r="E49" s="12">
        <f>11*600</f>
        <v>6600</v>
      </c>
      <c r="G49" s="39">
        <f t="shared" si="0"/>
        <v>6600</v>
      </c>
    </row>
    <row r="50" spans="1:7" x14ac:dyDescent="0.2">
      <c r="A50" s="14"/>
      <c r="B50" s="9"/>
      <c r="C50" s="9" t="s">
        <v>522</v>
      </c>
      <c r="D50" s="9"/>
      <c r="E50" s="13">
        <v>15000</v>
      </c>
      <c r="G50" s="39">
        <f t="shared" si="0"/>
        <v>15000</v>
      </c>
    </row>
    <row r="51" spans="1:7" x14ac:dyDescent="0.2">
      <c r="A51" s="14"/>
      <c r="B51" s="9"/>
      <c r="C51" s="9" t="s">
        <v>13</v>
      </c>
      <c r="D51" s="9"/>
      <c r="E51" s="12">
        <f>SUM(E49:E50)</f>
        <v>21600</v>
      </c>
      <c r="G51" s="39"/>
    </row>
    <row r="52" spans="1:7" x14ac:dyDescent="0.2">
      <c r="A52" s="14"/>
      <c r="B52" s="9"/>
      <c r="C52" s="9"/>
      <c r="D52" s="9"/>
      <c r="E52" s="12"/>
      <c r="G52" s="39"/>
    </row>
    <row r="53" spans="1:7" x14ac:dyDescent="0.2">
      <c r="A53" s="14">
        <v>530.02</v>
      </c>
      <c r="B53" s="9"/>
      <c r="C53" s="9" t="s">
        <v>801</v>
      </c>
      <c r="D53" s="9"/>
      <c r="E53" s="12">
        <v>1800</v>
      </c>
      <c r="G53" s="39">
        <f t="shared" si="0"/>
        <v>1800</v>
      </c>
    </row>
    <row r="54" spans="1:7" x14ac:dyDescent="0.2">
      <c r="A54" s="14">
        <v>530.04999999999995</v>
      </c>
      <c r="B54" s="9"/>
      <c r="C54" s="9" t="s">
        <v>20</v>
      </c>
      <c r="D54" s="9"/>
      <c r="E54" s="12">
        <v>300</v>
      </c>
      <c r="G54" s="39">
        <f t="shared" si="0"/>
        <v>300</v>
      </c>
    </row>
    <row r="55" spans="1:7" x14ac:dyDescent="0.2">
      <c r="A55" s="14">
        <v>530.11</v>
      </c>
      <c r="B55" s="9"/>
      <c r="C55" s="9" t="s">
        <v>2</v>
      </c>
      <c r="D55" s="9"/>
      <c r="E55" s="12">
        <v>6000</v>
      </c>
      <c r="G55" s="39">
        <f t="shared" si="0"/>
        <v>6000</v>
      </c>
    </row>
    <row r="56" spans="1:7" x14ac:dyDescent="0.2">
      <c r="A56" s="14">
        <v>540.01</v>
      </c>
      <c r="B56" s="9"/>
      <c r="C56" s="9" t="s">
        <v>381</v>
      </c>
      <c r="D56" s="9"/>
      <c r="E56" s="12">
        <v>2000</v>
      </c>
      <c r="G56" s="39">
        <f t="shared" si="0"/>
        <v>2000</v>
      </c>
    </row>
    <row r="57" spans="1:7" x14ac:dyDescent="0.2">
      <c r="A57" s="14"/>
      <c r="B57" s="9"/>
      <c r="C57" s="9"/>
      <c r="D57" s="9"/>
      <c r="E57" s="13">
        <v>0</v>
      </c>
      <c r="G57" s="39"/>
    </row>
    <row r="58" spans="1:7" x14ac:dyDescent="0.2">
      <c r="A58" s="14"/>
      <c r="B58" s="9"/>
      <c r="C58" s="9" t="s">
        <v>13</v>
      </c>
      <c r="D58" s="9"/>
      <c r="E58" s="12">
        <f>SUM(E56:E57)</f>
        <v>2000</v>
      </c>
      <c r="G58" s="39"/>
    </row>
    <row r="59" spans="1:7" x14ac:dyDescent="0.2">
      <c r="A59" s="14"/>
      <c r="B59" s="9"/>
      <c r="C59" s="9"/>
      <c r="D59" s="9"/>
      <c r="E59" s="12"/>
      <c r="G59" s="39"/>
    </row>
    <row r="60" spans="1:7" x14ac:dyDescent="0.2">
      <c r="A60" s="14">
        <v>550.01</v>
      </c>
      <c r="B60" s="9"/>
      <c r="C60" s="9" t="s">
        <v>958</v>
      </c>
      <c r="D60" s="9"/>
      <c r="E60" s="12">
        <v>500</v>
      </c>
      <c r="G60" s="39">
        <f t="shared" si="0"/>
        <v>500</v>
      </c>
    </row>
    <row r="61" spans="1:7" x14ac:dyDescent="0.2">
      <c r="A61" s="14">
        <v>550.02</v>
      </c>
      <c r="B61" s="9"/>
      <c r="C61" s="9" t="s">
        <v>959</v>
      </c>
      <c r="D61" s="9"/>
      <c r="E61" s="12">
        <v>2500</v>
      </c>
      <c r="G61" s="39">
        <f t="shared" si="0"/>
        <v>2500</v>
      </c>
    </row>
    <row r="62" spans="1:7" x14ac:dyDescent="0.2">
      <c r="A62" s="14"/>
      <c r="B62" s="9"/>
      <c r="C62" s="9"/>
      <c r="D62" s="9"/>
      <c r="E62" s="12"/>
      <c r="G62" s="39"/>
    </row>
    <row r="63" spans="1:7" x14ac:dyDescent="0.2">
      <c r="A63" s="14">
        <v>550.04</v>
      </c>
      <c r="B63" s="9"/>
      <c r="C63" s="9" t="s">
        <v>960</v>
      </c>
      <c r="D63" s="9"/>
      <c r="E63" s="12">
        <v>4000</v>
      </c>
      <c r="G63" s="39">
        <f t="shared" si="0"/>
        <v>4000</v>
      </c>
    </row>
    <row r="64" spans="1:7" x14ac:dyDescent="0.2">
      <c r="A64" s="14"/>
      <c r="B64" s="9"/>
      <c r="C64" s="9" t="s">
        <v>630</v>
      </c>
      <c r="D64" s="9"/>
      <c r="E64" s="12">
        <v>2000</v>
      </c>
      <c r="G64" s="39">
        <f t="shared" si="0"/>
        <v>2000</v>
      </c>
    </row>
    <row r="65" spans="1:7" x14ac:dyDescent="0.2">
      <c r="A65" s="14"/>
      <c r="B65" s="9"/>
      <c r="C65" s="9" t="s">
        <v>631</v>
      </c>
      <c r="D65" s="9"/>
      <c r="E65" s="13">
        <v>6000</v>
      </c>
      <c r="G65" s="39">
        <f t="shared" si="0"/>
        <v>6000</v>
      </c>
    </row>
    <row r="66" spans="1:7" x14ac:dyDescent="0.2">
      <c r="A66" s="14"/>
      <c r="B66" s="9"/>
      <c r="C66" s="9" t="s">
        <v>13</v>
      </c>
      <c r="D66" s="9"/>
      <c r="E66" s="12">
        <f>SUM(E63:E65)</f>
        <v>12000</v>
      </c>
      <c r="G66" s="39"/>
    </row>
    <row r="67" spans="1:7" x14ac:dyDescent="0.2">
      <c r="A67" s="14"/>
      <c r="B67" s="9"/>
      <c r="C67" s="9"/>
      <c r="D67" s="9"/>
      <c r="E67" s="12"/>
      <c r="G67" s="39"/>
    </row>
    <row r="68" spans="1:7" x14ac:dyDescent="0.2">
      <c r="A68" s="14">
        <v>550.05999999999995</v>
      </c>
      <c r="B68" s="9"/>
      <c r="C68" s="9" t="s">
        <v>659</v>
      </c>
      <c r="D68" s="9"/>
      <c r="E68" s="12">
        <v>0</v>
      </c>
      <c r="G68" s="39">
        <f t="shared" si="0"/>
        <v>0</v>
      </c>
    </row>
    <row r="69" spans="1:7" x14ac:dyDescent="0.2">
      <c r="A69" s="14"/>
      <c r="B69" s="9"/>
      <c r="C69" s="9"/>
      <c r="D69" s="9"/>
      <c r="E69" s="12"/>
      <c r="G69" s="39"/>
    </row>
    <row r="70" spans="1:7" x14ac:dyDescent="0.2">
      <c r="A70" s="14">
        <v>560.02</v>
      </c>
      <c r="B70" s="9"/>
      <c r="C70" s="9" t="s">
        <v>428</v>
      </c>
      <c r="D70" s="9"/>
      <c r="E70" s="12">
        <v>4500</v>
      </c>
      <c r="G70" s="39">
        <f t="shared" si="0"/>
        <v>4500</v>
      </c>
    </row>
    <row r="71" spans="1:7" x14ac:dyDescent="0.2">
      <c r="A71" s="14"/>
      <c r="B71" s="9"/>
      <c r="C71" s="9" t="s">
        <v>628</v>
      </c>
      <c r="D71" s="9"/>
      <c r="E71" s="12">
        <v>4100</v>
      </c>
      <c r="G71" s="39">
        <f t="shared" si="0"/>
        <v>4100</v>
      </c>
    </row>
    <row r="72" spans="1:7" x14ac:dyDescent="0.2">
      <c r="A72" s="14"/>
      <c r="B72" s="9"/>
      <c r="C72" s="9" t="s">
        <v>429</v>
      </c>
      <c r="D72" s="9"/>
      <c r="E72" s="13">
        <v>2400</v>
      </c>
      <c r="G72" s="39">
        <f t="shared" si="0"/>
        <v>2400</v>
      </c>
    </row>
    <row r="73" spans="1:7" x14ac:dyDescent="0.2">
      <c r="A73" s="14"/>
      <c r="B73" s="9"/>
      <c r="C73" s="9" t="s">
        <v>13</v>
      </c>
      <c r="D73" s="9"/>
      <c r="E73" s="12">
        <f>SUM(E70:E72)</f>
        <v>11000</v>
      </c>
      <c r="G73" s="39"/>
    </row>
    <row r="74" spans="1:7" x14ac:dyDescent="0.2">
      <c r="A74" s="14"/>
      <c r="B74" s="9"/>
      <c r="C74" s="9"/>
      <c r="D74" s="9"/>
      <c r="E74" s="12"/>
      <c r="G74" s="39"/>
    </row>
    <row r="75" spans="1:7" x14ac:dyDescent="0.2">
      <c r="A75" s="14">
        <v>560.1</v>
      </c>
      <c r="B75" s="9"/>
      <c r="C75" s="9" t="s">
        <v>430</v>
      </c>
      <c r="D75" s="9"/>
      <c r="E75" s="12">
        <v>750</v>
      </c>
      <c r="G75" s="39">
        <f t="shared" si="0"/>
        <v>750</v>
      </c>
    </row>
    <row r="76" spans="1:7" x14ac:dyDescent="0.2">
      <c r="A76" s="14"/>
      <c r="B76" s="9"/>
      <c r="C76" s="9" t="s">
        <v>629</v>
      </c>
      <c r="D76" s="9"/>
      <c r="E76" s="12">
        <v>2750</v>
      </c>
      <c r="G76" s="39">
        <f t="shared" si="0"/>
        <v>2750</v>
      </c>
    </row>
    <row r="77" spans="1:7" x14ac:dyDescent="0.2">
      <c r="A77" s="14"/>
      <c r="B77" s="9"/>
      <c r="C77" s="9" t="s">
        <v>431</v>
      </c>
      <c r="D77" s="9"/>
      <c r="E77" s="13">
        <v>1500</v>
      </c>
      <c r="G77" s="39">
        <f t="shared" si="0"/>
        <v>1500</v>
      </c>
    </row>
    <row r="78" spans="1:7" x14ac:dyDescent="0.2">
      <c r="A78" s="14"/>
      <c r="B78" s="9"/>
      <c r="C78" s="9" t="s">
        <v>13</v>
      </c>
      <c r="D78" s="9"/>
      <c r="E78" s="12">
        <f>SUM(E75:E77)</f>
        <v>5000</v>
      </c>
      <c r="G78" s="39"/>
    </row>
    <row r="79" spans="1:7" x14ac:dyDescent="0.2">
      <c r="A79" s="14"/>
      <c r="B79" s="9"/>
      <c r="C79" s="9"/>
      <c r="D79" s="9"/>
      <c r="E79" s="12"/>
      <c r="G79" s="39"/>
    </row>
    <row r="80" spans="1:7" x14ac:dyDescent="0.2">
      <c r="A80" s="14">
        <v>560.12</v>
      </c>
      <c r="B80" s="9"/>
      <c r="C80" s="9" t="s">
        <v>432</v>
      </c>
      <c r="D80" s="9"/>
      <c r="E80" s="12">
        <v>0</v>
      </c>
      <c r="G80" s="39">
        <f t="shared" si="0"/>
        <v>0</v>
      </c>
    </row>
    <row r="81" spans="1:7" x14ac:dyDescent="0.2">
      <c r="A81" s="14"/>
      <c r="B81" s="9"/>
      <c r="C81" s="9"/>
      <c r="D81" s="9"/>
      <c r="E81" s="12"/>
      <c r="G81" s="39"/>
    </row>
    <row r="82" spans="1:7" x14ac:dyDescent="0.2">
      <c r="A82" s="14">
        <v>590.01</v>
      </c>
      <c r="B82" s="9"/>
      <c r="C82" s="9" t="s">
        <v>961</v>
      </c>
      <c r="D82" s="9"/>
      <c r="E82" s="12">
        <v>500</v>
      </c>
      <c r="G82" s="39">
        <f t="shared" si="0"/>
        <v>500</v>
      </c>
    </row>
    <row r="83" spans="1:7" x14ac:dyDescent="0.2">
      <c r="A83" s="14"/>
      <c r="B83" s="9"/>
      <c r="C83" s="9"/>
      <c r="D83" s="9"/>
      <c r="E83" s="12"/>
      <c r="G83" s="39"/>
    </row>
    <row r="84" spans="1:7" x14ac:dyDescent="0.2">
      <c r="A84" s="14">
        <v>590.02</v>
      </c>
      <c r="B84" s="9"/>
      <c r="C84" s="9" t="s">
        <v>962</v>
      </c>
      <c r="D84" s="9"/>
      <c r="E84" s="12">
        <v>28000</v>
      </c>
      <c r="G84" s="39">
        <f t="shared" si="0"/>
        <v>28000</v>
      </c>
    </row>
    <row r="85" spans="1:7" x14ac:dyDescent="0.2">
      <c r="A85" s="14"/>
      <c r="B85" s="9"/>
      <c r="C85" s="9" t="s">
        <v>963</v>
      </c>
      <c r="D85" s="9"/>
      <c r="E85" s="12">
        <v>2000</v>
      </c>
      <c r="G85" s="39">
        <f t="shared" si="0"/>
        <v>2000</v>
      </c>
    </row>
    <row r="86" spans="1:7" x14ac:dyDescent="0.2">
      <c r="A86" s="14"/>
      <c r="B86" s="9"/>
      <c r="C86" s="9"/>
      <c r="D86" s="9"/>
      <c r="E86" s="13">
        <v>0</v>
      </c>
      <c r="G86" s="39">
        <f t="shared" si="0"/>
        <v>0</v>
      </c>
    </row>
    <row r="87" spans="1:7" x14ac:dyDescent="0.2">
      <c r="A87" s="14"/>
      <c r="B87" s="9"/>
      <c r="C87" s="9" t="s">
        <v>13</v>
      </c>
      <c r="D87" s="9"/>
      <c r="E87" s="12">
        <f>SUM(E84:E86)</f>
        <v>30000</v>
      </c>
      <c r="F87" s="26"/>
      <c r="G87" s="39"/>
    </row>
    <row r="88" spans="1:7" x14ac:dyDescent="0.2">
      <c r="A88" s="14"/>
      <c r="B88" s="9"/>
      <c r="C88" s="9"/>
      <c r="D88" s="9"/>
      <c r="E88" s="12"/>
      <c r="G88" s="39">
        <f t="shared" si="0"/>
        <v>0</v>
      </c>
    </row>
    <row r="89" spans="1:7" x14ac:dyDescent="0.2">
      <c r="A89" s="14">
        <v>590.04</v>
      </c>
      <c r="B89" s="9"/>
      <c r="C89" s="9" t="s">
        <v>964</v>
      </c>
      <c r="D89" s="9"/>
      <c r="E89" s="12">
        <v>9000</v>
      </c>
      <c r="G89" s="39">
        <f t="shared" si="0"/>
        <v>9000</v>
      </c>
    </row>
    <row r="90" spans="1:7" x14ac:dyDescent="0.2">
      <c r="A90" s="14"/>
      <c r="B90" s="9"/>
      <c r="C90" s="9" t="s">
        <v>965</v>
      </c>
      <c r="D90" s="9"/>
      <c r="E90" s="12">
        <v>38650</v>
      </c>
      <c r="G90" s="39">
        <f t="shared" si="0"/>
        <v>38650</v>
      </c>
    </row>
    <row r="91" spans="1:7" ht="3.75" customHeight="1" x14ac:dyDescent="0.2">
      <c r="A91" s="14"/>
      <c r="B91" s="9"/>
      <c r="C91" s="9"/>
      <c r="D91" s="9"/>
      <c r="E91" s="12" t="s">
        <v>576</v>
      </c>
      <c r="G91" s="39" t="str">
        <f t="shared" si="0"/>
        <v>________</v>
      </c>
    </row>
    <row r="92" spans="1:7" x14ac:dyDescent="0.2">
      <c r="A92" s="9"/>
      <c r="B92" s="9"/>
      <c r="C92" s="9" t="s">
        <v>13</v>
      </c>
      <c r="D92" s="9"/>
      <c r="E92" s="12">
        <f>SUM(E89:E91)</f>
        <v>47650</v>
      </c>
      <c r="G92" s="39"/>
    </row>
    <row r="93" spans="1:7" x14ac:dyDescent="0.2">
      <c r="A93" s="9"/>
      <c r="B93" s="9"/>
      <c r="C93" s="9"/>
      <c r="D93" s="9"/>
      <c r="E93" s="9"/>
    </row>
    <row r="95" spans="1:7" x14ac:dyDescent="0.2">
      <c r="G95" s="39">
        <f>SUM(G34:G94)</f>
        <v>173750</v>
      </c>
    </row>
    <row r="96" spans="1:7" x14ac:dyDescent="0.2">
      <c r="G96">
        <v>-173750</v>
      </c>
    </row>
  </sheetData>
  <printOptions headings="1" gridLines="1"/>
  <pageMargins left="0.7" right="0.7" top="0.75" bottom="0.75" header="0.3" footer="0.3"/>
  <pageSetup scale="90" orientation="portrait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zoomScaleNormal="100" workbookViewId="0">
      <selection activeCell="K23" sqref="K23"/>
    </sheetView>
  </sheetViews>
  <sheetFormatPr defaultRowHeight="12.75" x14ac:dyDescent="0.2"/>
  <cols>
    <col min="5" max="6" width="0" hidden="1" customWidth="1"/>
  </cols>
  <sheetData>
    <row r="2" spans="1:13" x14ac:dyDescent="0.2">
      <c r="A2" t="s">
        <v>396</v>
      </c>
    </row>
    <row r="4" spans="1:13" x14ac:dyDescent="0.2">
      <c r="A4" t="s">
        <v>360</v>
      </c>
      <c r="B4" t="s">
        <v>361</v>
      </c>
    </row>
    <row r="5" spans="1:13" x14ac:dyDescent="0.2">
      <c r="A5" t="s">
        <v>362</v>
      </c>
      <c r="B5" t="s">
        <v>408</v>
      </c>
      <c r="K5" s="26" t="s">
        <v>847</v>
      </c>
    </row>
    <row r="6" spans="1:13" x14ac:dyDescent="0.2">
      <c r="E6" s="27" t="s">
        <v>407</v>
      </c>
      <c r="G6" s="27" t="s">
        <v>849</v>
      </c>
      <c r="H6" s="27"/>
      <c r="I6" s="27" t="s">
        <v>969</v>
      </c>
      <c r="K6" s="26" t="s">
        <v>859</v>
      </c>
    </row>
    <row r="7" spans="1:13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  <c r="M7" s="73"/>
    </row>
    <row r="9" spans="1:13" x14ac:dyDescent="0.2">
      <c r="A9" t="s">
        <v>433</v>
      </c>
      <c r="E9" s="19">
        <v>2960</v>
      </c>
      <c r="F9" s="19"/>
      <c r="G9" s="19">
        <f>(2080*16.16)/12</f>
        <v>2801.0666666666671</v>
      </c>
      <c r="H9" s="19"/>
      <c r="I9" s="19">
        <f>(16.16*2080)/12</f>
        <v>2801.0666666666671</v>
      </c>
      <c r="J9" s="19"/>
      <c r="K9" s="19">
        <f>SUM(I9*12)</f>
        <v>33612.800000000003</v>
      </c>
    </row>
    <row r="10" spans="1:13" x14ac:dyDescent="0.2">
      <c r="E10" s="19"/>
      <c r="F10" s="19"/>
      <c r="G10" s="19"/>
      <c r="H10" s="19"/>
      <c r="I10" s="19"/>
      <c r="J10" s="19"/>
      <c r="K10" s="19"/>
    </row>
    <row r="11" spans="1:13" x14ac:dyDescent="0.2">
      <c r="A11" s="26" t="s">
        <v>743</v>
      </c>
      <c r="E11" s="19"/>
      <c r="F11" s="19"/>
      <c r="G11" s="19"/>
      <c r="H11" s="19"/>
      <c r="I11" s="19"/>
      <c r="J11" s="19"/>
      <c r="K11" s="19">
        <v>2600</v>
      </c>
    </row>
    <row r="12" spans="1:13" x14ac:dyDescent="0.2">
      <c r="E12" s="19"/>
      <c r="F12" s="19"/>
      <c r="G12" s="19"/>
      <c r="H12" s="19"/>
      <c r="I12" s="19"/>
      <c r="J12" s="19"/>
      <c r="K12" s="19"/>
    </row>
    <row r="13" spans="1:13" x14ac:dyDescent="0.2">
      <c r="A13" t="s">
        <v>426</v>
      </c>
      <c r="E13" s="19"/>
      <c r="F13" s="19"/>
      <c r="G13" s="19"/>
      <c r="H13" s="19"/>
      <c r="I13" s="19"/>
      <c r="J13" s="19"/>
      <c r="K13" s="19">
        <v>2500</v>
      </c>
    </row>
    <row r="14" spans="1:13" x14ac:dyDescent="0.2">
      <c r="E14" s="19"/>
      <c r="F14" s="19"/>
      <c r="G14" s="19"/>
      <c r="H14" s="19"/>
      <c r="I14" s="19"/>
      <c r="J14" s="19"/>
      <c r="K14" s="19"/>
    </row>
    <row r="15" spans="1:13" x14ac:dyDescent="0.2">
      <c r="A15" t="s">
        <v>403</v>
      </c>
      <c r="E15" s="19"/>
      <c r="F15" s="19"/>
      <c r="G15" s="19"/>
      <c r="H15" s="19"/>
      <c r="I15" s="19"/>
      <c r="J15" s="19"/>
      <c r="K15" s="19">
        <f>SUM(K9:K14)</f>
        <v>38712.800000000003</v>
      </c>
    </row>
    <row r="16" spans="1:13" x14ac:dyDescent="0.2">
      <c r="E16" s="19"/>
      <c r="F16" s="19"/>
      <c r="G16" s="19"/>
      <c r="H16" s="19"/>
      <c r="I16" s="19"/>
      <c r="J16" s="19"/>
      <c r="K16" s="19"/>
    </row>
    <row r="17" spans="5:11" x14ac:dyDescent="0.2">
      <c r="E17" s="19"/>
      <c r="F17" s="19"/>
      <c r="G17" s="19"/>
      <c r="H17" s="19"/>
      <c r="I17" s="19"/>
      <c r="J17" s="19"/>
      <c r="K17" s="19"/>
    </row>
    <row r="18" spans="5:11" x14ac:dyDescent="0.2">
      <c r="E18" s="19"/>
      <c r="F18" s="19"/>
      <c r="G18" s="19"/>
      <c r="H18" s="19"/>
      <c r="I18" s="19"/>
      <c r="J18" s="19"/>
      <c r="K18" s="19"/>
    </row>
    <row r="19" spans="5:11" x14ac:dyDescent="0.2">
      <c r="E19" s="19"/>
      <c r="F19" s="19"/>
      <c r="G19" s="19"/>
      <c r="H19" s="19"/>
      <c r="I19" s="19"/>
      <c r="J19" s="19"/>
      <c r="K19" s="19"/>
    </row>
  </sheetData>
  <pageMargins left="0.7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9" zoomScaleNormal="100" workbookViewId="0">
      <selection activeCell="G6" sqref="G6"/>
    </sheetView>
  </sheetViews>
  <sheetFormatPr defaultRowHeight="12.75" x14ac:dyDescent="0.2"/>
  <cols>
    <col min="1" max="1" width="9.28515625" bestFit="1" customWidth="1"/>
    <col min="3" max="3" width="40.28515625" customWidth="1"/>
    <col min="4" max="4" width="10.5703125" customWidth="1"/>
    <col min="5" max="5" width="10.140625" bestFit="1" customWidth="1"/>
  </cols>
  <sheetData>
    <row r="1" spans="1:7" x14ac:dyDescent="0.2">
      <c r="A1" s="9" t="s">
        <v>359</v>
      </c>
      <c r="B1" s="9"/>
      <c r="C1" s="9"/>
      <c r="D1" s="9"/>
      <c r="E1" s="9"/>
    </row>
    <row r="2" spans="1:7" x14ac:dyDescent="0.2">
      <c r="A2" s="9"/>
      <c r="B2" s="9"/>
      <c r="C2" s="9"/>
      <c r="D2" s="9"/>
      <c r="E2" s="9"/>
    </row>
    <row r="3" spans="1:7" x14ac:dyDescent="0.2">
      <c r="A3" s="9" t="s">
        <v>360</v>
      </c>
      <c r="B3" s="9"/>
      <c r="C3" s="9" t="s">
        <v>361</v>
      </c>
      <c r="D3" s="9"/>
      <c r="E3" s="9"/>
    </row>
    <row r="4" spans="1:7" x14ac:dyDescent="0.2">
      <c r="A4" s="9" t="s">
        <v>362</v>
      </c>
      <c r="B4" s="9"/>
      <c r="C4" s="9" t="s">
        <v>408</v>
      </c>
      <c r="D4" s="9"/>
      <c r="E4" s="26" t="s">
        <v>847</v>
      </c>
    </row>
    <row r="5" spans="1:7" x14ac:dyDescent="0.2">
      <c r="A5" s="9"/>
      <c r="B5" s="9"/>
      <c r="C5" s="9"/>
      <c r="D5" s="9"/>
      <c r="E5" s="26" t="s">
        <v>859</v>
      </c>
    </row>
    <row r="6" spans="1:7" x14ac:dyDescent="0.2">
      <c r="A6" s="10" t="s">
        <v>364</v>
      </c>
      <c r="B6" s="9"/>
      <c r="C6" s="11" t="s">
        <v>365</v>
      </c>
      <c r="D6" s="9"/>
      <c r="E6" s="11" t="s">
        <v>366</v>
      </c>
      <c r="G6" s="73"/>
    </row>
    <row r="8" spans="1:7" ht="14.25" x14ac:dyDescent="0.2">
      <c r="A8" s="21">
        <v>510.03</v>
      </c>
      <c r="B8" s="21"/>
      <c r="C8" s="21" t="s">
        <v>434</v>
      </c>
      <c r="D8" s="21"/>
      <c r="E8" s="22">
        <v>5000</v>
      </c>
    </row>
    <row r="9" spans="1:7" ht="14.25" x14ac:dyDescent="0.2">
      <c r="A9" s="21"/>
      <c r="B9" s="21"/>
      <c r="C9" s="21" t="s">
        <v>839</v>
      </c>
      <c r="D9" s="21"/>
      <c r="E9" s="22"/>
    </row>
    <row r="10" spans="1:7" ht="14.25" x14ac:dyDescent="0.2">
      <c r="A10" s="21"/>
      <c r="B10" s="21"/>
      <c r="C10" s="21" t="s">
        <v>840</v>
      </c>
      <c r="D10" s="21"/>
      <c r="E10" s="24">
        <v>10000</v>
      </c>
    </row>
    <row r="11" spans="1:7" ht="14.25" x14ac:dyDescent="0.2">
      <c r="A11" s="21"/>
      <c r="B11" s="21"/>
      <c r="C11" s="21" t="s">
        <v>13</v>
      </c>
      <c r="D11" s="21"/>
      <c r="E11" s="22">
        <f>SUM(E8:E10)</f>
        <v>15000</v>
      </c>
    </row>
    <row r="12" spans="1:7" ht="14.25" x14ac:dyDescent="0.2">
      <c r="A12" s="21"/>
      <c r="B12" s="21"/>
      <c r="C12" s="21"/>
      <c r="D12" s="21"/>
      <c r="E12" s="22"/>
    </row>
    <row r="13" spans="1:7" ht="14.25" x14ac:dyDescent="0.2">
      <c r="A13" s="23">
        <v>510.05</v>
      </c>
      <c r="B13" s="21"/>
      <c r="C13" s="21" t="s">
        <v>744</v>
      </c>
      <c r="D13" s="21"/>
      <c r="E13" s="22">
        <v>7928</v>
      </c>
    </row>
    <row r="14" spans="1:7" ht="14.25" x14ac:dyDescent="0.2">
      <c r="A14" s="23"/>
      <c r="B14" s="21"/>
      <c r="C14" s="21" t="s">
        <v>435</v>
      </c>
      <c r="D14" s="21"/>
      <c r="E14" s="22">
        <v>288</v>
      </c>
    </row>
    <row r="15" spans="1:7" ht="14.25" x14ac:dyDescent="0.2">
      <c r="A15" s="23"/>
      <c r="B15" s="21"/>
      <c r="C15" s="21" t="s">
        <v>525</v>
      </c>
      <c r="D15" s="21"/>
      <c r="E15" s="22">
        <f>(166*1.015)</f>
        <v>168.48999999999998</v>
      </c>
    </row>
    <row r="16" spans="1:7" ht="14.25" x14ac:dyDescent="0.2">
      <c r="A16" s="23"/>
      <c r="B16" s="21"/>
      <c r="C16" s="21" t="s">
        <v>436</v>
      </c>
      <c r="D16" s="21"/>
      <c r="E16" s="22">
        <v>36</v>
      </c>
    </row>
    <row r="17" spans="1:5" ht="14.25" x14ac:dyDescent="0.2">
      <c r="A17" s="23"/>
      <c r="B17" s="21"/>
      <c r="C17" s="21" t="s">
        <v>437</v>
      </c>
      <c r="D17" s="21"/>
      <c r="E17" s="24">
        <v>55</v>
      </c>
    </row>
    <row r="18" spans="1:5" ht="14.25" x14ac:dyDescent="0.2">
      <c r="A18" s="23"/>
      <c r="B18" s="21"/>
      <c r="C18" s="21" t="s">
        <v>369</v>
      </c>
      <c r="D18" s="21"/>
      <c r="E18" s="22">
        <f>SUM(E13:E17)</f>
        <v>8475.49</v>
      </c>
    </row>
    <row r="19" spans="1:5" ht="14.25" x14ac:dyDescent="0.2">
      <c r="A19" s="23"/>
      <c r="B19" s="21"/>
      <c r="C19" s="21"/>
      <c r="D19" s="21"/>
      <c r="E19" s="22"/>
    </row>
    <row r="20" spans="1:5" ht="14.25" x14ac:dyDescent="0.2">
      <c r="A20" s="23">
        <v>510.06</v>
      </c>
      <c r="B20" s="21"/>
      <c r="C20" s="21" t="s">
        <v>373</v>
      </c>
      <c r="D20" s="21"/>
      <c r="E20" s="22">
        <f>(2856*1.015)</f>
        <v>2898.8399999999997</v>
      </c>
    </row>
    <row r="21" spans="1:5" ht="14.25" x14ac:dyDescent="0.2">
      <c r="A21" s="23"/>
      <c r="B21" s="21"/>
      <c r="C21" s="21"/>
      <c r="D21" s="21"/>
      <c r="E21" s="22"/>
    </row>
    <row r="22" spans="1:5" ht="14.25" x14ac:dyDescent="0.2">
      <c r="A22" s="23">
        <v>510.07</v>
      </c>
      <c r="B22" s="21"/>
      <c r="C22" s="21" t="s">
        <v>860</v>
      </c>
      <c r="D22" s="21"/>
      <c r="E22" s="22">
        <f>(1561*1.015)</f>
        <v>1584.4149999999997</v>
      </c>
    </row>
    <row r="23" spans="1:5" ht="14.25" x14ac:dyDescent="0.2">
      <c r="A23" s="23"/>
      <c r="B23" s="21"/>
      <c r="C23" s="21"/>
      <c r="D23" s="21"/>
      <c r="E23" s="22"/>
    </row>
    <row r="24" spans="1:5" ht="14.25" x14ac:dyDescent="0.2">
      <c r="A24" s="23">
        <v>510.08</v>
      </c>
      <c r="B24" s="21"/>
      <c r="C24" s="21" t="s">
        <v>745</v>
      </c>
      <c r="D24" s="21"/>
      <c r="E24" s="22">
        <f>(1015*1.015)</f>
        <v>1030.2249999999999</v>
      </c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>
        <v>510.09</v>
      </c>
      <c r="B26" s="21"/>
      <c r="C26" s="21" t="s">
        <v>691</v>
      </c>
      <c r="D26" s="21"/>
      <c r="E26" s="22">
        <v>352</v>
      </c>
    </row>
    <row r="27" spans="1:5" ht="14.25" x14ac:dyDescent="0.2">
      <c r="A27" s="23"/>
      <c r="B27" s="21"/>
      <c r="C27" s="21"/>
      <c r="D27" s="21"/>
      <c r="E27" s="22"/>
    </row>
    <row r="28" spans="1:5" ht="14.25" x14ac:dyDescent="0.2">
      <c r="A28" s="23">
        <v>510.12</v>
      </c>
      <c r="B28" s="21"/>
      <c r="C28" s="21" t="s">
        <v>692</v>
      </c>
      <c r="D28" s="21"/>
      <c r="E28" s="22">
        <v>300</v>
      </c>
    </row>
    <row r="29" spans="1:5" ht="14.25" x14ac:dyDescent="0.2">
      <c r="A29" s="23"/>
      <c r="B29" s="21"/>
      <c r="C29" s="21"/>
      <c r="D29" s="21"/>
      <c r="E29" s="22"/>
    </row>
    <row r="30" spans="1:5" ht="14.25" x14ac:dyDescent="0.2">
      <c r="A30" s="23">
        <v>520.03</v>
      </c>
      <c r="B30" s="21"/>
      <c r="C30" s="21" t="s">
        <v>894</v>
      </c>
      <c r="D30" s="21"/>
      <c r="E30" s="22">
        <v>200</v>
      </c>
    </row>
    <row r="31" spans="1:5" ht="14.25" x14ac:dyDescent="0.2">
      <c r="A31" s="23">
        <v>520.04</v>
      </c>
      <c r="B31" s="21"/>
      <c r="C31" s="21" t="s">
        <v>438</v>
      </c>
      <c r="D31" s="21"/>
      <c r="E31" s="22">
        <v>1000</v>
      </c>
    </row>
    <row r="32" spans="1:5" ht="14.25" x14ac:dyDescent="0.2">
      <c r="A32" s="23"/>
      <c r="B32" s="21"/>
      <c r="C32" s="21" t="s">
        <v>439</v>
      </c>
      <c r="D32" s="21"/>
      <c r="E32" s="24">
        <v>300</v>
      </c>
    </row>
    <row r="33" spans="1:5" ht="14.25" x14ac:dyDescent="0.2">
      <c r="A33" s="23"/>
      <c r="B33" s="21"/>
      <c r="C33" s="21" t="s">
        <v>13</v>
      </c>
      <c r="D33" s="21"/>
      <c r="E33" s="22">
        <f>SUM(E30:E32)</f>
        <v>1500</v>
      </c>
    </row>
    <row r="34" spans="1:5" ht="14.25" x14ac:dyDescent="0.2">
      <c r="A34" s="23"/>
      <c r="B34" s="21"/>
      <c r="C34" s="21"/>
      <c r="D34" s="21"/>
      <c r="E34" s="22"/>
    </row>
    <row r="35" spans="1:5" ht="14.25" x14ac:dyDescent="0.2">
      <c r="A35" s="23">
        <v>520.07000000000005</v>
      </c>
      <c r="B35" s="21"/>
      <c r="C35" s="21" t="s">
        <v>211</v>
      </c>
      <c r="D35" s="21"/>
      <c r="E35" s="22">
        <v>300</v>
      </c>
    </row>
    <row r="36" spans="1:5" ht="14.25" x14ac:dyDescent="0.2">
      <c r="A36" s="23"/>
      <c r="B36" s="21"/>
      <c r="C36" s="21"/>
      <c r="D36" s="21"/>
      <c r="E36" s="22"/>
    </row>
    <row r="37" spans="1:5" ht="14.25" x14ac:dyDescent="0.2">
      <c r="A37" s="23">
        <v>520.09</v>
      </c>
      <c r="B37" s="21"/>
      <c r="C37" s="21" t="s">
        <v>212</v>
      </c>
      <c r="D37" s="21"/>
      <c r="E37" s="22">
        <v>0</v>
      </c>
    </row>
    <row r="38" spans="1:5" ht="14.25" x14ac:dyDescent="0.2">
      <c r="A38" s="23"/>
      <c r="B38" s="21"/>
      <c r="C38" s="21"/>
      <c r="D38" s="21"/>
      <c r="E38" s="22"/>
    </row>
    <row r="39" spans="1:5" ht="14.25" x14ac:dyDescent="0.2">
      <c r="A39" s="23">
        <v>520.1</v>
      </c>
      <c r="B39" s="21"/>
      <c r="C39" s="21" t="s">
        <v>804</v>
      </c>
      <c r="D39" s="21"/>
      <c r="E39" s="22">
        <v>1000</v>
      </c>
    </row>
    <row r="40" spans="1:5" ht="14.25" x14ac:dyDescent="0.2">
      <c r="A40" s="23"/>
      <c r="B40" s="21"/>
      <c r="C40" s="21"/>
      <c r="D40" s="21"/>
      <c r="E40" s="22"/>
    </row>
    <row r="41" spans="1:5" ht="14.25" x14ac:dyDescent="0.2">
      <c r="A41" s="23">
        <v>540.01</v>
      </c>
      <c r="B41" s="21"/>
      <c r="C41" s="21" t="s">
        <v>381</v>
      </c>
      <c r="D41" s="21"/>
      <c r="E41" s="22">
        <v>2500</v>
      </c>
    </row>
    <row r="42" spans="1:5" ht="14.25" x14ac:dyDescent="0.2">
      <c r="A42" s="23"/>
      <c r="B42" s="21"/>
      <c r="C42" s="21"/>
      <c r="D42" s="21"/>
      <c r="E42" s="22"/>
    </row>
    <row r="43" spans="1:5" ht="14.25" x14ac:dyDescent="0.2">
      <c r="A43" s="23">
        <v>550.05999999999995</v>
      </c>
      <c r="B43" s="21"/>
      <c r="C43" s="21" t="s">
        <v>746</v>
      </c>
      <c r="D43" s="21"/>
      <c r="E43" s="22">
        <v>600</v>
      </c>
    </row>
    <row r="44" spans="1:5" ht="14.25" x14ac:dyDescent="0.2">
      <c r="A44" s="23"/>
      <c r="B44" s="21"/>
      <c r="C44" s="21"/>
      <c r="D44" s="21"/>
      <c r="E44" s="22"/>
    </row>
    <row r="45" spans="1:5" ht="14.25" x14ac:dyDescent="0.2">
      <c r="A45" s="23">
        <v>560.02</v>
      </c>
      <c r="B45" s="21"/>
      <c r="C45" s="21" t="s">
        <v>710</v>
      </c>
      <c r="D45" s="21"/>
      <c r="E45" s="22">
        <v>100</v>
      </c>
    </row>
    <row r="46" spans="1:5" ht="14.25" x14ac:dyDescent="0.2">
      <c r="A46" s="23"/>
      <c r="B46" s="21"/>
      <c r="C46" s="21"/>
      <c r="D46" s="21"/>
      <c r="E46" s="22"/>
    </row>
    <row r="47" spans="1:5" ht="14.25" x14ac:dyDescent="0.2">
      <c r="A47" s="23">
        <v>560.1</v>
      </c>
      <c r="B47" s="21"/>
      <c r="C47" s="21" t="s">
        <v>532</v>
      </c>
      <c r="D47" s="21"/>
      <c r="E47" s="22">
        <v>300</v>
      </c>
    </row>
    <row r="48" spans="1:5" ht="14.25" x14ac:dyDescent="0.2">
      <c r="A48" s="23"/>
      <c r="B48" s="21"/>
      <c r="C48" s="21"/>
      <c r="D48" s="21"/>
      <c r="E48" s="22"/>
    </row>
    <row r="49" spans="1:5" ht="14.25" x14ac:dyDescent="0.2">
      <c r="A49" s="23">
        <v>580.01</v>
      </c>
      <c r="B49" s="21"/>
      <c r="C49" s="21" t="s">
        <v>802</v>
      </c>
      <c r="D49" s="21"/>
      <c r="E49" s="22">
        <v>3000</v>
      </c>
    </row>
    <row r="50" spans="1:5" ht="14.25" x14ac:dyDescent="0.2">
      <c r="A50" s="23"/>
      <c r="B50" s="21"/>
      <c r="C50" s="21"/>
      <c r="D50" s="21"/>
      <c r="E50" s="22"/>
    </row>
    <row r="51" spans="1:5" ht="14.25" x14ac:dyDescent="0.2">
      <c r="A51" s="23">
        <v>590.02</v>
      </c>
      <c r="B51" s="21"/>
      <c r="C51" s="21" t="s">
        <v>604</v>
      </c>
      <c r="D51" s="21"/>
      <c r="E51" s="22">
        <v>1000</v>
      </c>
    </row>
    <row r="52" spans="1:5" ht="14.25" x14ac:dyDescent="0.2">
      <c r="A52" s="23"/>
      <c r="B52" s="21"/>
      <c r="C52" s="21" t="s">
        <v>803</v>
      </c>
      <c r="D52" s="21"/>
      <c r="E52" s="24">
        <v>500</v>
      </c>
    </row>
    <row r="53" spans="1:5" ht="14.25" x14ac:dyDescent="0.2">
      <c r="A53" s="23"/>
      <c r="B53" s="21"/>
      <c r="C53" s="21" t="s">
        <v>13</v>
      </c>
      <c r="D53" s="21"/>
      <c r="E53" s="22">
        <f>SUM(E51:E52)</f>
        <v>1500</v>
      </c>
    </row>
    <row r="54" spans="1:5" ht="14.25" x14ac:dyDescent="0.2">
      <c r="A54" s="23"/>
      <c r="B54" s="21"/>
      <c r="C54" s="21"/>
      <c r="D54" s="21"/>
      <c r="E54" s="22"/>
    </row>
    <row r="55" spans="1:5" ht="14.25" x14ac:dyDescent="0.2">
      <c r="A55" s="34">
        <v>590.04</v>
      </c>
      <c r="B55" s="30"/>
      <c r="C55" s="33" t="s">
        <v>868</v>
      </c>
      <c r="D55" s="30"/>
      <c r="E55" s="22">
        <v>6400</v>
      </c>
    </row>
    <row r="56" spans="1:5" ht="14.25" x14ac:dyDescent="0.2">
      <c r="A56" s="30"/>
      <c r="B56" s="30"/>
      <c r="C56" s="30"/>
      <c r="D56" s="30"/>
      <c r="E56" s="38"/>
    </row>
    <row r="57" spans="1:5" ht="14.25" x14ac:dyDescent="0.2">
      <c r="A57" s="30"/>
      <c r="B57" s="30"/>
      <c r="C57" s="33"/>
      <c r="D57" s="30"/>
      <c r="E57" s="30"/>
    </row>
  </sheetData>
  <printOptions headings="1" gridLines="1"/>
  <pageMargins left="0.7" right="0.7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2" zoomScaleNormal="100" workbookViewId="0">
      <selection activeCell="C58" sqref="C58"/>
    </sheetView>
  </sheetViews>
  <sheetFormatPr defaultRowHeight="12.75" x14ac:dyDescent="0.2"/>
  <cols>
    <col min="4" max="4" width="46.28515625" customWidth="1"/>
    <col min="5" max="5" width="10.7109375" customWidth="1"/>
    <col min="14" max="14" width="14.42578125" customWidth="1"/>
  </cols>
  <sheetData>
    <row r="1" spans="1:5" x14ac:dyDescent="0.2">
      <c r="A1" s="9" t="s">
        <v>359</v>
      </c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 t="s">
        <v>360</v>
      </c>
      <c r="B3" s="9"/>
      <c r="C3" s="9" t="s">
        <v>361</v>
      </c>
      <c r="D3" s="9"/>
      <c r="E3" s="9"/>
    </row>
    <row r="4" spans="1:5" x14ac:dyDescent="0.2">
      <c r="A4" s="9" t="s">
        <v>362</v>
      </c>
      <c r="B4" s="9"/>
      <c r="C4" s="9" t="s">
        <v>409</v>
      </c>
      <c r="D4" s="9"/>
      <c r="E4" s="26" t="s">
        <v>847</v>
      </c>
    </row>
    <row r="5" spans="1:5" x14ac:dyDescent="0.2">
      <c r="A5" s="9"/>
      <c r="B5" s="9"/>
      <c r="C5" s="9"/>
      <c r="D5" s="9"/>
      <c r="E5" s="26" t="s">
        <v>859</v>
      </c>
    </row>
    <row r="6" spans="1:5" x14ac:dyDescent="0.2">
      <c r="A6" s="10" t="s">
        <v>364</v>
      </c>
      <c r="B6" s="9"/>
      <c r="C6" s="11" t="s">
        <v>365</v>
      </c>
      <c r="D6" s="9"/>
      <c r="E6" s="11" t="s">
        <v>366</v>
      </c>
    </row>
    <row r="8" spans="1:5" ht="14.25" x14ac:dyDescent="0.2">
      <c r="A8" s="23">
        <v>510.04</v>
      </c>
      <c r="B8" s="21"/>
      <c r="C8" s="21" t="s">
        <v>672</v>
      </c>
      <c r="D8" s="21"/>
      <c r="E8" s="22">
        <v>15000</v>
      </c>
    </row>
    <row r="9" spans="1:5" ht="14.25" x14ac:dyDescent="0.2">
      <c r="A9" s="23"/>
      <c r="B9" s="21"/>
      <c r="C9" s="21" t="s">
        <v>1072</v>
      </c>
      <c r="D9" s="21"/>
      <c r="E9" s="24">
        <v>3000</v>
      </c>
    </row>
    <row r="10" spans="1:5" ht="14.25" x14ac:dyDescent="0.2">
      <c r="A10" s="23"/>
      <c r="B10" s="21"/>
      <c r="C10" s="21"/>
      <c r="D10" s="21"/>
      <c r="E10" s="22">
        <f>SUM(E8:E9)</f>
        <v>18000</v>
      </c>
    </row>
    <row r="11" spans="1:5" ht="14.25" x14ac:dyDescent="0.2">
      <c r="A11" s="23">
        <v>510.08</v>
      </c>
      <c r="B11" s="21"/>
      <c r="C11" s="21" t="s">
        <v>440</v>
      </c>
      <c r="D11" s="21"/>
      <c r="E11" s="22">
        <v>400</v>
      </c>
    </row>
    <row r="12" spans="1:5" ht="14.25" x14ac:dyDescent="0.2">
      <c r="A12" s="23"/>
      <c r="B12" s="21"/>
      <c r="C12" s="21"/>
      <c r="D12" s="21"/>
      <c r="E12" s="22"/>
    </row>
    <row r="13" spans="1:5" ht="14.25" x14ac:dyDescent="0.2">
      <c r="A13" s="23">
        <v>510.1</v>
      </c>
      <c r="B13" s="21"/>
      <c r="C13" s="21" t="s">
        <v>715</v>
      </c>
      <c r="D13" s="21"/>
      <c r="E13" s="22">
        <v>2500</v>
      </c>
    </row>
    <row r="14" spans="1:5" ht="14.25" x14ac:dyDescent="0.2">
      <c r="A14" s="23"/>
      <c r="B14" s="21"/>
      <c r="C14" s="21"/>
      <c r="D14" s="21"/>
      <c r="E14" s="22"/>
    </row>
    <row r="15" spans="1:5" ht="14.25" x14ac:dyDescent="0.2">
      <c r="A15" s="23">
        <v>520.03</v>
      </c>
      <c r="B15" s="21"/>
      <c r="C15" s="21" t="s">
        <v>441</v>
      </c>
      <c r="D15" s="21"/>
      <c r="E15" s="22">
        <v>800</v>
      </c>
    </row>
    <row r="16" spans="1:5" ht="14.25" x14ac:dyDescent="0.2">
      <c r="A16" s="23"/>
      <c r="B16" s="21"/>
      <c r="C16" s="21"/>
      <c r="D16" s="21"/>
      <c r="E16" s="22"/>
    </row>
    <row r="17" spans="1:15" ht="14.25" x14ac:dyDescent="0.2">
      <c r="A17" s="23">
        <v>520.1</v>
      </c>
      <c r="B17" s="21"/>
      <c r="C17" s="21" t="s">
        <v>442</v>
      </c>
      <c r="D17" s="21"/>
      <c r="E17" s="22">
        <v>2500</v>
      </c>
    </row>
    <row r="18" spans="1:15" ht="14.25" x14ac:dyDescent="0.2">
      <c r="A18" s="23"/>
      <c r="B18" s="21"/>
      <c r="C18" s="21"/>
      <c r="D18" s="21"/>
      <c r="E18" s="22"/>
    </row>
    <row r="19" spans="1:15" ht="14.25" x14ac:dyDescent="0.2">
      <c r="A19" s="23">
        <v>530.01</v>
      </c>
      <c r="B19" s="21"/>
      <c r="C19" s="21" t="s">
        <v>750</v>
      </c>
      <c r="D19" s="21"/>
      <c r="E19" s="22">
        <v>2000</v>
      </c>
    </row>
    <row r="20" spans="1:15" ht="14.25" x14ac:dyDescent="0.2">
      <c r="A20" s="23"/>
      <c r="B20" s="21"/>
      <c r="C20" s="21" t="s">
        <v>751</v>
      </c>
      <c r="D20" s="21"/>
      <c r="E20" s="24">
        <v>0</v>
      </c>
    </row>
    <row r="21" spans="1:15" ht="14.25" x14ac:dyDescent="0.2">
      <c r="A21" s="23"/>
      <c r="B21" s="21"/>
      <c r="C21" s="21" t="s">
        <v>13</v>
      </c>
      <c r="D21" s="21"/>
      <c r="E21" s="24">
        <f>SUM(E19:E20)</f>
        <v>2000</v>
      </c>
    </row>
    <row r="22" spans="1:15" ht="14.25" x14ac:dyDescent="0.2">
      <c r="A22" s="23"/>
      <c r="B22" s="21"/>
      <c r="C22" s="21"/>
      <c r="D22" s="21"/>
      <c r="E22" s="22"/>
    </row>
    <row r="23" spans="1:15" ht="18" x14ac:dyDescent="0.25">
      <c r="A23" s="23">
        <v>530.02</v>
      </c>
      <c r="B23" s="21"/>
      <c r="C23" s="21" t="s">
        <v>443</v>
      </c>
      <c r="D23" s="21"/>
      <c r="E23" s="22">
        <v>0</v>
      </c>
      <c r="N23" s="7"/>
      <c r="O23" s="2"/>
    </row>
    <row r="24" spans="1:15" ht="18" x14ac:dyDescent="0.25">
      <c r="A24" s="23"/>
      <c r="B24" s="21"/>
      <c r="C24" s="21" t="s">
        <v>444</v>
      </c>
      <c r="D24" s="21"/>
      <c r="E24" s="24">
        <v>0</v>
      </c>
      <c r="N24" s="7"/>
      <c r="O24" s="4"/>
    </row>
    <row r="25" spans="1:15" ht="18" x14ac:dyDescent="0.25">
      <c r="A25" s="23"/>
      <c r="B25" s="21"/>
      <c r="C25" s="21" t="s">
        <v>13</v>
      </c>
      <c r="D25" s="21"/>
      <c r="E25" s="22">
        <f>SUM(E23:E24)</f>
        <v>0</v>
      </c>
      <c r="N25" s="7"/>
      <c r="O25" s="4"/>
    </row>
    <row r="26" spans="1:15" ht="18" x14ac:dyDescent="0.25">
      <c r="A26" s="23"/>
      <c r="B26" s="21"/>
      <c r="C26" s="21"/>
      <c r="D26" s="21"/>
      <c r="E26" s="22"/>
      <c r="N26" s="8"/>
      <c r="O26" s="4"/>
    </row>
    <row r="27" spans="1:15" ht="18" x14ac:dyDescent="0.25">
      <c r="A27" s="23">
        <v>530.03</v>
      </c>
      <c r="B27" s="21"/>
      <c r="C27" s="21" t="s">
        <v>445</v>
      </c>
      <c r="D27" s="21"/>
      <c r="E27" s="22">
        <v>1000</v>
      </c>
      <c r="N27" s="7"/>
      <c r="O27" s="4"/>
    </row>
    <row r="28" spans="1:15" ht="18" x14ac:dyDescent="0.25">
      <c r="A28" s="23"/>
      <c r="B28" s="21"/>
      <c r="C28" s="21"/>
      <c r="D28" s="21"/>
      <c r="E28" s="22"/>
      <c r="N28" s="7"/>
      <c r="O28" s="4"/>
    </row>
    <row r="29" spans="1:15" ht="18" x14ac:dyDescent="0.25">
      <c r="A29" s="23">
        <v>530.04</v>
      </c>
      <c r="B29" s="21"/>
      <c r="C29" s="21" t="s">
        <v>681</v>
      </c>
      <c r="D29" s="21"/>
      <c r="E29" s="22">
        <v>0</v>
      </c>
      <c r="N29" s="7"/>
      <c r="O29" s="4"/>
    </row>
    <row r="30" spans="1:15" ht="18" x14ac:dyDescent="0.25">
      <c r="A30" s="23"/>
      <c r="B30" s="21"/>
      <c r="C30" s="21"/>
      <c r="D30" s="21"/>
      <c r="E30" s="22"/>
      <c r="N30" s="8"/>
      <c r="O30" s="4"/>
    </row>
    <row r="31" spans="1:15" ht="14.25" x14ac:dyDescent="0.2">
      <c r="A31" s="23">
        <v>530.13</v>
      </c>
      <c r="B31" s="21"/>
      <c r="C31" s="21" t="s">
        <v>446</v>
      </c>
      <c r="D31" s="21"/>
      <c r="E31" s="22">
        <v>540</v>
      </c>
    </row>
    <row r="32" spans="1:15" ht="14.25" x14ac:dyDescent="0.2">
      <c r="A32" s="23"/>
      <c r="B32" s="21"/>
      <c r="C32" s="21"/>
      <c r="D32" s="21"/>
      <c r="E32" s="22"/>
    </row>
    <row r="33" spans="1:5" ht="14.25" x14ac:dyDescent="0.2">
      <c r="A33" s="23">
        <v>540.01</v>
      </c>
      <c r="B33" s="21"/>
      <c r="C33" s="21" t="s">
        <v>447</v>
      </c>
      <c r="D33" s="21"/>
      <c r="E33" s="22">
        <v>600</v>
      </c>
    </row>
    <row r="34" spans="1:5" ht="14.25" x14ac:dyDescent="0.2">
      <c r="A34" s="23"/>
      <c r="B34" s="21"/>
      <c r="C34" s="21" t="s">
        <v>381</v>
      </c>
      <c r="D34" s="21"/>
      <c r="E34" s="24">
        <v>900</v>
      </c>
    </row>
    <row r="35" spans="1:5" ht="14.25" x14ac:dyDescent="0.2">
      <c r="A35" s="23"/>
      <c r="B35" s="21"/>
      <c r="C35" s="21" t="s">
        <v>13</v>
      </c>
      <c r="D35" s="21"/>
      <c r="E35" s="22">
        <f>SUM(E33:E34)</f>
        <v>1500</v>
      </c>
    </row>
    <row r="36" spans="1:5" ht="14.25" x14ac:dyDescent="0.2">
      <c r="A36" s="23"/>
      <c r="B36" s="21"/>
      <c r="C36" s="21"/>
      <c r="D36" s="21"/>
      <c r="E36" s="22"/>
    </row>
    <row r="37" spans="1:5" ht="14.25" x14ac:dyDescent="0.2">
      <c r="A37" s="23">
        <v>550.02</v>
      </c>
      <c r="B37" s="21"/>
      <c r="C37" s="21" t="s">
        <v>1017</v>
      </c>
      <c r="D37" s="21"/>
      <c r="E37" s="22">
        <v>5500</v>
      </c>
    </row>
    <row r="38" spans="1:5" ht="14.25" x14ac:dyDescent="0.2">
      <c r="A38" s="23"/>
      <c r="B38" s="21"/>
      <c r="C38" s="21" t="s">
        <v>216</v>
      </c>
      <c r="D38" s="21"/>
      <c r="E38" s="24">
        <v>500</v>
      </c>
    </row>
    <row r="39" spans="1:5" ht="14.25" x14ac:dyDescent="0.2">
      <c r="A39" s="23"/>
      <c r="B39" s="21"/>
      <c r="C39" s="21" t="s">
        <v>13</v>
      </c>
      <c r="D39" s="21"/>
      <c r="E39" s="22">
        <f>SUM(E37:E38)</f>
        <v>6000</v>
      </c>
    </row>
    <row r="40" spans="1:5" ht="14.25" x14ac:dyDescent="0.2">
      <c r="A40" s="23"/>
      <c r="B40" s="21"/>
      <c r="C40" s="21"/>
      <c r="D40" s="21"/>
      <c r="E40" s="22"/>
    </row>
    <row r="41" spans="1:5" ht="14.25" x14ac:dyDescent="0.2">
      <c r="A41" s="23">
        <v>550.04</v>
      </c>
      <c r="B41" s="21"/>
      <c r="C41" s="21" t="s">
        <v>205</v>
      </c>
      <c r="D41" s="21"/>
      <c r="E41" s="22">
        <v>6000</v>
      </c>
    </row>
    <row r="42" spans="1:5" ht="14.25" x14ac:dyDescent="0.2">
      <c r="A42" s="23"/>
      <c r="B42" s="21"/>
      <c r="C42" s="21"/>
      <c r="D42" s="21"/>
      <c r="E42" s="22"/>
    </row>
    <row r="43" spans="1:5" ht="14.25" x14ac:dyDescent="0.2">
      <c r="A43" s="23">
        <v>550.04999999999995</v>
      </c>
      <c r="B43" s="21"/>
      <c r="C43" s="21" t="s">
        <v>448</v>
      </c>
      <c r="D43" s="21"/>
      <c r="E43" s="22">
        <v>1000</v>
      </c>
    </row>
    <row r="44" spans="1:5" ht="14.25" x14ac:dyDescent="0.2">
      <c r="A44" s="23"/>
      <c r="B44" s="21"/>
      <c r="C44" s="21"/>
      <c r="D44" s="21"/>
      <c r="E44" s="22"/>
    </row>
    <row r="45" spans="1:5" ht="14.25" x14ac:dyDescent="0.2">
      <c r="A45" s="23">
        <v>550.05999999999995</v>
      </c>
      <c r="B45" s="21"/>
      <c r="C45" s="21" t="s">
        <v>752</v>
      </c>
      <c r="D45" s="21"/>
      <c r="E45" s="22">
        <v>500</v>
      </c>
    </row>
    <row r="46" spans="1:5" ht="14.25" x14ac:dyDescent="0.2">
      <c r="A46" s="23"/>
      <c r="B46" s="21"/>
      <c r="C46" s="21"/>
      <c r="D46" s="21"/>
      <c r="E46" s="22"/>
    </row>
    <row r="47" spans="1:5" ht="14.25" x14ac:dyDescent="0.2">
      <c r="A47" s="23">
        <v>560.02</v>
      </c>
      <c r="B47" s="21"/>
      <c r="C47" s="21" t="s">
        <v>179</v>
      </c>
      <c r="D47" s="21"/>
      <c r="E47" s="22">
        <v>1200</v>
      </c>
    </row>
    <row r="48" spans="1:5" ht="14.25" x14ac:dyDescent="0.2">
      <c r="A48" s="23"/>
      <c r="B48" s="21"/>
      <c r="C48" s="21"/>
      <c r="D48" s="21"/>
      <c r="E48" s="22"/>
    </row>
    <row r="49" spans="1:5" ht="14.25" x14ac:dyDescent="0.2">
      <c r="A49" s="23">
        <v>560.1</v>
      </c>
      <c r="B49" s="21"/>
      <c r="C49" s="21" t="s">
        <v>180</v>
      </c>
      <c r="D49" s="21"/>
      <c r="E49" s="22">
        <v>6000</v>
      </c>
    </row>
    <row r="50" spans="1:5" ht="14.25" x14ac:dyDescent="0.2">
      <c r="A50" s="23"/>
      <c r="B50" s="21"/>
      <c r="C50" s="21"/>
      <c r="D50" s="21"/>
      <c r="E50" s="22"/>
    </row>
    <row r="51" spans="1:5" ht="14.25" x14ac:dyDescent="0.2">
      <c r="A51" s="23">
        <v>590.04</v>
      </c>
      <c r="B51" s="21"/>
      <c r="C51" s="21" t="s">
        <v>1018</v>
      </c>
      <c r="D51" s="21"/>
      <c r="E51" s="22">
        <f>2727*12</f>
        <v>32724</v>
      </c>
    </row>
    <row r="52" spans="1:5" ht="14.25" x14ac:dyDescent="0.2">
      <c r="A52" s="23"/>
      <c r="B52" s="21"/>
      <c r="C52" s="21"/>
      <c r="D52" s="21"/>
      <c r="E52" s="22"/>
    </row>
    <row r="53" spans="1:5" ht="14.25" x14ac:dyDescent="0.2">
      <c r="A53" s="23">
        <v>590.04999999999995</v>
      </c>
      <c r="B53" s="21"/>
      <c r="C53" s="50" t="s">
        <v>841</v>
      </c>
      <c r="D53" s="21"/>
      <c r="E53" s="44">
        <v>750</v>
      </c>
    </row>
    <row r="54" spans="1:5" ht="14.25" x14ac:dyDescent="0.2">
      <c r="A54" s="23"/>
      <c r="B54" s="21"/>
      <c r="C54" s="21"/>
      <c r="D54" s="21"/>
      <c r="E54" s="22"/>
    </row>
    <row r="55" spans="1:5" ht="14.25" x14ac:dyDescent="0.2">
      <c r="A55" s="23">
        <v>590.05999999999995</v>
      </c>
      <c r="B55" s="21"/>
      <c r="C55" s="21" t="s">
        <v>749</v>
      </c>
      <c r="D55" s="21"/>
      <c r="E55" s="22">
        <v>3000</v>
      </c>
    </row>
    <row r="56" spans="1:5" ht="14.25" x14ac:dyDescent="0.2">
      <c r="A56" s="23"/>
      <c r="B56" s="21"/>
      <c r="C56" s="21"/>
      <c r="D56" s="21"/>
      <c r="E56" s="22"/>
    </row>
    <row r="57" spans="1:5" ht="14.25" x14ac:dyDescent="0.2">
      <c r="A57" s="23">
        <v>590.1</v>
      </c>
      <c r="B57" s="21"/>
      <c r="C57" s="21" t="s">
        <v>1073</v>
      </c>
      <c r="D57" s="21"/>
      <c r="E57" s="44">
        <v>5000</v>
      </c>
    </row>
    <row r="58" spans="1:5" ht="14.25" x14ac:dyDescent="0.2">
      <c r="A58" s="23"/>
      <c r="B58" s="21"/>
      <c r="C58" s="21"/>
      <c r="D58" s="21"/>
      <c r="E58" s="22"/>
    </row>
    <row r="59" spans="1:5" ht="14.25" x14ac:dyDescent="0.2">
      <c r="A59" s="23"/>
      <c r="B59" s="21"/>
      <c r="C59" s="21"/>
      <c r="D59" s="21"/>
      <c r="E59" s="22"/>
    </row>
  </sheetData>
  <printOptions headings="1" gridLines="1"/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zoomScaleNormal="100" workbookViewId="0">
      <selection activeCell="M9" sqref="M9"/>
    </sheetView>
  </sheetViews>
  <sheetFormatPr defaultRowHeight="12.75" x14ac:dyDescent="0.2"/>
  <cols>
    <col min="5" max="6" width="0" hidden="1" customWidth="1"/>
  </cols>
  <sheetData>
    <row r="2" spans="1:13" x14ac:dyDescent="0.2">
      <c r="A2" t="s">
        <v>396</v>
      </c>
    </row>
    <row r="4" spans="1:13" x14ac:dyDescent="0.2">
      <c r="A4" t="s">
        <v>360</v>
      </c>
      <c r="B4" t="s">
        <v>361</v>
      </c>
    </row>
    <row r="5" spans="1:13" x14ac:dyDescent="0.2">
      <c r="A5" t="s">
        <v>362</v>
      </c>
      <c r="B5" t="s">
        <v>507</v>
      </c>
      <c r="K5" s="26" t="s">
        <v>847</v>
      </c>
    </row>
    <row r="6" spans="1:13" x14ac:dyDescent="0.2">
      <c r="E6" s="27" t="s">
        <v>407</v>
      </c>
      <c r="G6" s="27" t="s">
        <v>849</v>
      </c>
      <c r="H6" s="27"/>
      <c r="I6" s="26" t="s">
        <v>969</v>
      </c>
      <c r="K6" s="26" t="s">
        <v>859</v>
      </c>
    </row>
    <row r="7" spans="1:13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</row>
    <row r="9" spans="1:13" x14ac:dyDescent="0.2">
      <c r="A9" s="26" t="s">
        <v>510</v>
      </c>
      <c r="E9" s="25">
        <v>4200</v>
      </c>
      <c r="G9" s="25">
        <f>((1977*26/12))*1.015</f>
        <v>4347.7524999999996</v>
      </c>
      <c r="H9" s="25"/>
      <c r="I9" s="25">
        <f>(2080*25.59)/12</f>
        <v>4435.5999999999995</v>
      </c>
      <c r="K9" s="25">
        <f>SUM(I9*12)</f>
        <v>53227.199999999997</v>
      </c>
      <c r="M9" s="39"/>
    </row>
    <row r="10" spans="1:13" x14ac:dyDescent="0.2">
      <c r="M10" s="39"/>
    </row>
    <row r="11" spans="1:13" x14ac:dyDescent="0.2">
      <c r="E11" s="19"/>
      <c r="F11" s="19"/>
      <c r="G11" s="19"/>
      <c r="H11" s="19"/>
      <c r="I11" s="19"/>
      <c r="J11" s="19"/>
      <c r="K11" s="19"/>
      <c r="M11" s="39"/>
    </row>
    <row r="12" spans="1:13" x14ac:dyDescent="0.2">
      <c r="A12" t="s">
        <v>403</v>
      </c>
      <c r="E12" s="19"/>
      <c r="F12" s="19"/>
      <c r="G12" s="19"/>
      <c r="H12" s="19"/>
      <c r="I12" s="19"/>
      <c r="J12" s="19"/>
      <c r="K12" s="19">
        <f>SUM(K9:K11)</f>
        <v>53227.199999999997</v>
      </c>
      <c r="M12" s="39"/>
    </row>
    <row r="13" spans="1:13" x14ac:dyDescent="0.2">
      <c r="E13" s="19"/>
      <c r="F13" s="19"/>
      <c r="G13" s="19"/>
      <c r="H13" s="19"/>
      <c r="I13" s="19"/>
      <c r="J13" s="19"/>
      <c r="K13" s="19"/>
    </row>
    <row r="14" spans="1:13" x14ac:dyDescent="0.2">
      <c r="E14" s="19"/>
      <c r="F14" s="19"/>
      <c r="G14" s="19"/>
      <c r="H14" s="19"/>
      <c r="I14" s="19"/>
      <c r="J14" s="19"/>
      <c r="K14" s="19"/>
    </row>
    <row r="15" spans="1:13" x14ac:dyDescent="0.2">
      <c r="E15" s="19"/>
      <c r="F15" s="19"/>
      <c r="G15" s="19"/>
      <c r="H15" s="19"/>
      <c r="I15" s="19"/>
      <c r="J15" s="19"/>
      <c r="K15" s="19"/>
    </row>
    <row r="16" spans="1:13" x14ac:dyDescent="0.2">
      <c r="E16" s="19"/>
      <c r="F16" s="19"/>
      <c r="G16" s="19"/>
      <c r="H16" s="19"/>
      <c r="I16" s="19"/>
      <c r="J16" s="19"/>
      <c r="K16" s="19"/>
    </row>
    <row r="17" spans="5:11" x14ac:dyDescent="0.2">
      <c r="E17" s="19"/>
      <c r="F17" s="19"/>
      <c r="G17" s="19"/>
      <c r="H17" s="19"/>
      <c r="I17" s="19"/>
      <c r="J17" s="19"/>
      <c r="K17" s="19"/>
    </row>
    <row r="18" spans="5:11" x14ac:dyDescent="0.2">
      <c r="E18" s="19"/>
      <c r="F18" s="19"/>
      <c r="G18" s="19"/>
      <c r="H18" s="19"/>
      <c r="I18" s="19"/>
      <c r="J18" s="19"/>
      <c r="K18" s="19"/>
    </row>
    <row r="19" spans="5:11" x14ac:dyDescent="0.2">
      <c r="E19" s="19"/>
      <c r="F19" s="19"/>
      <c r="G19" s="19"/>
      <c r="H19" s="19"/>
      <c r="I19" s="19"/>
      <c r="J19" s="19"/>
      <c r="K19" s="19"/>
    </row>
    <row r="20" spans="5:11" x14ac:dyDescent="0.2">
      <c r="E20" s="19"/>
      <c r="F20" s="19"/>
      <c r="G20" s="19"/>
      <c r="H20" s="19"/>
      <c r="I20" s="19"/>
      <c r="J20" s="19"/>
      <c r="K20" s="19"/>
    </row>
  </sheetData>
  <pageMargins left="0.7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4" zoomScaleNormal="100" workbookViewId="0">
      <selection activeCell="C71" sqref="C71"/>
    </sheetView>
  </sheetViews>
  <sheetFormatPr defaultRowHeight="12.75" x14ac:dyDescent="0.2"/>
  <cols>
    <col min="1" max="1" width="9.5703125" bestFit="1" customWidth="1"/>
    <col min="4" max="4" width="41" customWidth="1"/>
    <col min="5" max="5" width="9.42578125" bestFit="1" customWidth="1"/>
    <col min="7" max="7" width="2.28515625" customWidth="1"/>
  </cols>
  <sheetData>
    <row r="1" spans="1:5" x14ac:dyDescent="0.2">
      <c r="A1" s="9" t="s">
        <v>359</v>
      </c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 t="s">
        <v>360</v>
      </c>
      <c r="B3" s="9"/>
      <c r="C3" s="9" t="s">
        <v>361</v>
      </c>
      <c r="D3" s="9"/>
      <c r="E3" s="9"/>
    </row>
    <row r="4" spans="1:5" x14ac:dyDescent="0.2">
      <c r="A4" s="9" t="s">
        <v>362</v>
      </c>
      <c r="B4" s="9"/>
      <c r="C4" s="9" t="s">
        <v>508</v>
      </c>
      <c r="D4" s="9"/>
      <c r="E4" s="9"/>
    </row>
    <row r="5" spans="1:5" x14ac:dyDescent="0.2">
      <c r="A5" s="9"/>
      <c r="B5" s="9"/>
      <c r="C5" s="9"/>
      <c r="D5" s="9"/>
      <c r="E5" s="26" t="s">
        <v>847</v>
      </c>
    </row>
    <row r="6" spans="1:5" x14ac:dyDescent="0.2">
      <c r="A6" s="10" t="s">
        <v>364</v>
      </c>
      <c r="B6" s="9"/>
      <c r="C6" s="11" t="s">
        <v>365</v>
      </c>
      <c r="D6" s="9"/>
      <c r="E6" s="62" t="s">
        <v>859</v>
      </c>
    </row>
    <row r="8" spans="1:5" ht="14.25" x14ac:dyDescent="0.2">
      <c r="A8" s="21">
        <v>510.03</v>
      </c>
      <c r="B8" s="21"/>
      <c r="C8" s="21" t="s">
        <v>813</v>
      </c>
      <c r="D8" s="21"/>
      <c r="E8" s="22">
        <v>5000</v>
      </c>
    </row>
    <row r="9" spans="1:5" ht="14.25" x14ac:dyDescent="0.2">
      <c r="A9" s="21"/>
      <c r="B9" s="21"/>
      <c r="C9" s="21"/>
      <c r="D9" s="21"/>
      <c r="E9" s="22"/>
    </row>
    <row r="10" spans="1:5" ht="14.25" x14ac:dyDescent="0.2">
      <c r="A10" s="23">
        <v>510.05</v>
      </c>
      <c r="B10" s="21"/>
      <c r="C10" s="21" t="s">
        <v>744</v>
      </c>
      <c r="D10" s="21"/>
      <c r="E10" s="22">
        <v>7928</v>
      </c>
    </row>
    <row r="11" spans="1:5" ht="14.25" x14ac:dyDescent="0.2">
      <c r="A11" s="23"/>
      <c r="B11" s="21"/>
      <c r="C11" s="21" t="s">
        <v>435</v>
      </c>
      <c r="D11" s="21"/>
      <c r="E11" s="22">
        <f>24*12</f>
        <v>288</v>
      </c>
    </row>
    <row r="12" spans="1:5" ht="14.25" x14ac:dyDescent="0.2">
      <c r="A12" s="23"/>
      <c r="B12" s="21"/>
      <c r="C12" s="21" t="s">
        <v>525</v>
      </c>
      <c r="D12" s="21"/>
      <c r="E12" s="22">
        <f>SUM('Personnel Sched-Comm D'!K12*0.00515)</f>
        <v>274.12007999999997</v>
      </c>
    </row>
    <row r="13" spans="1:5" ht="14.25" x14ac:dyDescent="0.2">
      <c r="A13" s="23"/>
      <c r="B13" s="21"/>
      <c r="C13" s="21" t="s">
        <v>1008</v>
      </c>
      <c r="D13" s="21"/>
      <c r="E13" s="22">
        <v>50</v>
      </c>
    </row>
    <row r="14" spans="1:5" ht="14.25" x14ac:dyDescent="0.2">
      <c r="A14" s="23"/>
      <c r="B14" s="21"/>
      <c r="C14" s="21" t="s">
        <v>437</v>
      </c>
      <c r="D14" s="21"/>
      <c r="E14" s="24">
        <v>55</v>
      </c>
    </row>
    <row r="15" spans="1:5" ht="14.25" x14ac:dyDescent="0.2">
      <c r="A15" s="23"/>
      <c r="B15" s="21"/>
      <c r="C15" s="21" t="s">
        <v>369</v>
      </c>
      <c r="D15" s="21"/>
      <c r="E15" s="22">
        <f>SUM(E10:E14)</f>
        <v>8595.1200800000006</v>
      </c>
    </row>
    <row r="16" spans="1:5" ht="14.25" x14ac:dyDescent="0.2">
      <c r="A16" s="23"/>
      <c r="B16" s="21"/>
      <c r="C16" s="21"/>
      <c r="D16" s="21"/>
      <c r="E16" s="22"/>
    </row>
    <row r="17" spans="1:5" ht="14.25" x14ac:dyDescent="0.2">
      <c r="A17" s="23">
        <v>510.06</v>
      </c>
      <c r="B17" s="21"/>
      <c r="C17" s="21" t="s">
        <v>373</v>
      </c>
      <c r="D17" s="21"/>
      <c r="E17" s="44">
        <f>(+'Personnel Sched-Comm D'!K12*0.0765)</f>
        <v>4071.8807999999999</v>
      </c>
    </row>
    <row r="18" spans="1:5" ht="14.25" x14ac:dyDescent="0.2">
      <c r="A18" s="23"/>
      <c r="B18" s="21"/>
      <c r="C18" s="21"/>
      <c r="D18" s="21"/>
      <c r="E18" s="22"/>
    </row>
    <row r="19" spans="1:5" ht="14.25" x14ac:dyDescent="0.2">
      <c r="A19" s="23">
        <v>510.07</v>
      </c>
      <c r="B19" s="21"/>
      <c r="C19" s="21" t="s">
        <v>860</v>
      </c>
      <c r="D19" s="21"/>
      <c r="E19" s="44">
        <f>(+'Personnel Sched-Comm D'!K12*0.0502)</f>
        <v>2672.0054399999999</v>
      </c>
    </row>
    <row r="20" spans="1:5" ht="14.25" x14ac:dyDescent="0.2">
      <c r="A20" s="23"/>
      <c r="B20" s="21"/>
      <c r="C20" s="21"/>
      <c r="D20" s="21"/>
      <c r="E20" s="22"/>
    </row>
    <row r="21" spans="1:5" ht="14.25" x14ac:dyDescent="0.2">
      <c r="A21" s="23">
        <v>510.08</v>
      </c>
      <c r="B21" s="21"/>
      <c r="C21" s="21"/>
      <c r="D21" s="21"/>
      <c r="E21" s="44"/>
    </row>
    <row r="22" spans="1:5" ht="14.25" x14ac:dyDescent="0.2">
      <c r="A22" s="23"/>
      <c r="B22" s="21"/>
      <c r="C22" s="21" t="s">
        <v>671</v>
      </c>
      <c r="D22" s="21"/>
      <c r="E22" s="45">
        <f>(80*1.015)</f>
        <v>81.199999999999989</v>
      </c>
    </row>
    <row r="23" spans="1:5" ht="14.25" x14ac:dyDescent="0.2">
      <c r="A23" s="23"/>
      <c r="B23" s="21"/>
      <c r="C23" s="21" t="s">
        <v>13</v>
      </c>
      <c r="D23" s="21"/>
      <c r="E23" s="22">
        <f>SUM(E21:E22)</f>
        <v>81.199999999999989</v>
      </c>
    </row>
    <row r="24" spans="1:5" ht="14.25" x14ac:dyDescent="0.2">
      <c r="A24" s="23"/>
      <c r="B24" s="21"/>
      <c r="C24" s="21"/>
      <c r="D24" s="21"/>
      <c r="E24" s="22"/>
    </row>
    <row r="25" spans="1:5" ht="14.25" x14ac:dyDescent="0.2">
      <c r="A25" s="23">
        <v>510.09</v>
      </c>
      <c r="B25" s="21"/>
      <c r="C25" s="21" t="s">
        <v>691</v>
      </c>
      <c r="D25" s="21"/>
      <c r="E25" s="22">
        <v>0</v>
      </c>
    </row>
    <row r="26" spans="1:5" ht="14.25" x14ac:dyDescent="0.2">
      <c r="A26" s="23"/>
      <c r="B26" s="21"/>
      <c r="C26" s="21"/>
      <c r="D26" s="21"/>
      <c r="E26" s="22"/>
    </row>
    <row r="27" spans="1:5" ht="14.25" x14ac:dyDescent="0.2">
      <c r="A27" s="23">
        <v>510.11</v>
      </c>
      <c r="B27" s="21"/>
      <c r="C27" s="21" t="s">
        <v>534</v>
      </c>
      <c r="D27" s="21"/>
      <c r="E27" s="22">
        <v>0</v>
      </c>
    </row>
    <row r="28" spans="1:5" ht="14.25" x14ac:dyDescent="0.2">
      <c r="A28" s="23"/>
      <c r="B28" s="21"/>
      <c r="C28" s="21"/>
      <c r="D28" s="21"/>
      <c r="E28" s="22"/>
    </row>
    <row r="29" spans="1:5" ht="14.25" x14ac:dyDescent="0.2">
      <c r="A29" s="23">
        <v>510.12</v>
      </c>
      <c r="B29" s="21"/>
      <c r="C29" s="21" t="s">
        <v>692</v>
      </c>
      <c r="D29" s="21"/>
      <c r="E29" s="22">
        <f>150*5</f>
        <v>750</v>
      </c>
    </row>
    <row r="30" spans="1:5" ht="14.25" x14ac:dyDescent="0.2">
      <c r="A30" s="23">
        <v>520.01</v>
      </c>
      <c r="B30" s="21"/>
      <c r="C30" s="21" t="s">
        <v>161</v>
      </c>
      <c r="D30" s="21"/>
      <c r="E30" s="22">
        <v>500</v>
      </c>
    </row>
    <row r="31" spans="1:5" ht="14.25" x14ac:dyDescent="0.2">
      <c r="A31" s="23">
        <v>520.02</v>
      </c>
      <c r="B31" s="21"/>
      <c r="C31" s="21" t="s">
        <v>196</v>
      </c>
      <c r="D31" s="21"/>
      <c r="E31" s="22">
        <v>750</v>
      </c>
    </row>
    <row r="32" spans="1:5" ht="14.25" x14ac:dyDescent="0.2">
      <c r="A32" s="23">
        <v>520.03</v>
      </c>
      <c r="B32" s="21"/>
      <c r="C32" s="21" t="s">
        <v>894</v>
      </c>
      <c r="D32" s="21"/>
      <c r="E32" s="22">
        <v>7000</v>
      </c>
    </row>
    <row r="33" spans="1:5" ht="14.25" x14ac:dyDescent="0.2">
      <c r="A33" s="23"/>
      <c r="B33" s="21"/>
      <c r="C33" s="21"/>
      <c r="D33" s="21"/>
      <c r="E33" s="22"/>
    </row>
    <row r="34" spans="1:5" ht="14.25" x14ac:dyDescent="0.2">
      <c r="A34" s="23">
        <v>520.04</v>
      </c>
      <c r="B34" s="21"/>
      <c r="C34" s="21" t="s">
        <v>1009</v>
      </c>
      <c r="D34" s="21"/>
      <c r="E34" s="22">
        <v>850</v>
      </c>
    </row>
    <row r="35" spans="1:5" ht="14.25" x14ac:dyDescent="0.2">
      <c r="A35" s="23"/>
      <c r="B35" s="21"/>
      <c r="C35" s="21" t="s">
        <v>450</v>
      </c>
      <c r="D35" s="21"/>
      <c r="E35" s="24">
        <v>50</v>
      </c>
    </row>
    <row r="36" spans="1:5" ht="14.25" x14ac:dyDescent="0.2">
      <c r="A36" s="23"/>
      <c r="B36" s="21"/>
      <c r="C36" s="21" t="s">
        <v>13</v>
      </c>
      <c r="D36" s="21"/>
      <c r="E36" s="22">
        <f>SUM(E34:E35)</f>
        <v>900</v>
      </c>
    </row>
    <row r="37" spans="1:5" ht="14.25" x14ac:dyDescent="0.2">
      <c r="A37" s="23"/>
      <c r="B37" s="21"/>
      <c r="C37" s="21"/>
      <c r="D37" s="21"/>
      <c r="E37" s="22"/>
    </row>
    <row r="38" spans="1:5" ht="14.25" x14ac:dyDescent="0.2">
      <c r="A38" s="23">
        <v>520.05999999999995</v>
      </c>
      <c r="B38" s="21"/>
      <c r="C38" s="21" t="s">
        <v>231</v>
      </c>
      <c r="D38" s="21"/>
      <c r="E38" s="22">
        <v>1100</v>
      </c>
    </row>
    <row r="39" spans="1:5" ht="14.25" x14ac:dyDescent="0.2">
      <c r="A39" s="23"/>
      <c r="B39" s="21"/>
      <c r="C39" s="21"/>
      <c r="D39" s="21"/>
      <c r="E39" s="22"/>
    </row>
    <row r="40" spans="1:5" ht="14.25" x14ac:dyDescent="0.2">
      <c r="A40" s="23">
        <v>530.04</v>
      </c>
      <c r="B40" s="21"/>
      <c r="C40" s="21" t="s">
        <v>594</v>
      </c>
      <c r="D40" s="21"/>
      <c r="E40" s="22">
        <v>250</v>
      </c>
    </row>
    <row r="41" spans="1:5" ht="14.25" x14ac:dyDescent="0.2">
      <c r="A41" s="23"/>
      <c r="B41" s="21"/>
      <c r="C41" s="21"/>
      <c r="D41" s="21"/>
      <c r="E41" s="22"/>
    </row>
    <row r="42" spans="1:5" ht="14.25" x14ac:dyDescent="0.2">
      <c r="A42" s="23">
        <v>530.04999999999995</v>
      </c>
      <c r="B42" s="21"/>
      <c r="C42" s="21" t="s">
        <v>587</v>
      </c>
      <c r="D42" s="21"/>
      <c r="E42" s="22">
        <v>4500</v>
      </c>
    </row>
    <row r="43" spans="1:5" ht="14.25" x14ac:dyDescent="0.2">
      <c r="A43" s="23"/>
      <c r="B43" s="21"/>
      <c r="C43" s="21" t="s">
        <v>588</v>
      </c>
      <c r="D43" s="21"/>
      <c r="E43" s="22"/>
    </row>
    <row r="44" spans="1:5" ht="14.25" x14ac:dyDescent="0.2">
      <c r="A44" s="23"/>
      <c r="B44" s="21"/>
      <c r="C44" s="21"/>
      <c r="D44" s="21"/>
      <c r="E44" s="22"/>
    </row>
    <row r="45" spans="1:5" ht="14.25" x14ac:dyDescent="0.2">
      <c r="A45" s="23">
        <v>530.13</v>
      </c>
      <c r="B45" s="21"/>
      <c r="C45" s="21" t="s">
        <v>526</v>
      </c>
      <c r="D45" s="21"/>
      <c r="E45" s="22">
        <v>5000</v>
      </c>
    </row>
    <row r="46" spans="1:5" ht="14.25" x14ac:dyDescent="0.2">
      <c r="A46" s="23"/>
      <c r="B46" s="21"/>
      <c r="C46" s="21" t="s">
        <v>451</v>
      </c>
      <c r="D46" s="21"/>
      <c r="E46" s="24">
        <v>2500</v>
      </c>
    </row>
    <row r="47" spans="1:5" ht="14.25" x14ac:dyDescent="0.2">
      <c r="A47" s="23"/>
      <c r="B47" s="21"/>
      <c r="C47" s="21" t="s">
        <v>13</v>
      </c>
      <c r="D47" s="21"/>
      <c r="E47" s="22">
        <f>SUM(E45:E46)</f>
        <v>7500</v>
      </c>
    </row>
    <row r="48" spans="1:5" ht="14.25" x14ac:dyDescent="0.2">
      <c r="A48" s="23"/>
      <c r="B48" s="21"/>
      <c r="C48" s="21"/>
      <c r="D48" s="21"/>
      <c r="E48" s="22"/>
    </row>
    <row r="49" spans="1:5" ht="14.25" x14ac:dyDescent="0.2">
      <c r="A49" s="23">
        <v>540.07000000000005</v>
      </c>
      <c r="B49" s="21"/>
      <c r="C49" s="21" t="s">
        <v>452</v>
      </c>
      <c r="D49" s="21"/>
      <c r="E49" s="22">
        <v>60000</v>
      </c>
    </row>
    <row r="50" spans="1:5" ht="14.25" x14ac:dyDescent="0.2">
      <c r="A50" s="23"/>
      <c r="B50" s="21"/>
      <c r="C50" s="21"/>
      <c r="D50" s="21"/>
      <c r="E50" s="22"/>
    </row>
    <row r="51" spans="1:5" ht="14.25" x14ac:dyDescent="0.2">
      <c r="A51" s="23">
        <v>560.02</v>
      </c>
      <c r="B51" s="21"/>
      <c r="C51" s="21" t="s">
        <v>527</v>
      </c>
      <c r="D51" s="21"/>
      <c r="E51" s="22">
        <v>165</v>
      </c>
    </row>
    <row r="52" spans="1:5" ht="14.25" x14ac:dyDescent="0.2">
      <c r="A52" s="23"/>
      <c r="B52" s="21"/>
      <c r="C52" s="21" t="s">
        <v>528</v>
      </c>
      <c r="D52" s="21"/>
      <c r="E52" s="22">
        <v>125</v>
      </c>
    </row>
    <row r="53" spans="1:5" ht="14.25" x14ac:dyDescent="0.2">
      <c r="A53" s="23"/>
      <c r="B53" s="21"/>
      <c r="C53" s="21" t="s">
        <v>589</v>
      </c>
      <c r="D53" s="21"/>
      <c r="E53" s="22">
        <v>50</v>
      </c>
    </row>
    <row r="54" spans="1:5" ht="14.25" x14ac:dyDescent="0.2">
      <c r="A54" s="23"/>
      <c r="B54" s="21"/>
      <c r="C54" s="21" t="s">
        <v>590</v>
      </c>
      <c r="D54" s="21"/>
      <c r="E54" s="22">
        <v>65</v>
      </c>
    </row>
    <row r="55" spans="1:5" ht="14.25" x14ac:dyDescent="0.2">
      <c r="A55" s="23"/>
      <c r="B55" s="21"/>
      <c r="C55" s="21" t="s">
        <v>591</v>
      </c>
      <c r="D55" s="21"/>
      <c r="E55" s="22">
        <v>40</v>
      </c>
    </row>
    <row r="56" spans="1:5" ht="14.25" x14ac:dyDescent="0.2">
      <c r="A56" s="23"/>
      <c r="B56" s="21"/>
      <c r="C56" s="21" t="s">
        <v>592</v>
      </c>
      <c r="D56" s="21"/>
      <c r="E56" s="24">
        <v>0</v>
      </c>
    </row>
    <row r="57" spans="1:5" ht="14.25" x14ac:dyDescent="0.2">
      <c r="A57" s="23"/>
      <c r="B57" s="21"/>
      <c r="C57" s="21" t="s">
        <v>13</v>
      </c>
      <c r="D57" s="21"/>
      <c r="E57" s="22">
        <f>SUM(E51:E56)</f>
        <v>445</v>
      </c>
    </row>
    <row r="58" spans="1:5" ht="14.25" x14ac:dyDescent="0.2">
      <c r="A58" s="23"/>
      <c r="B58" s="21"/>
      <c r="C58" s="21"/>
      <c r="D58" s="21"/>
      <c r="E58" s="22"/>
    </row>
    <row r="59" spans="1:5" ht="14.25" x14ac:dyDescent="0.2">
      <c r="A59" s="23">
        <v>560.1</v>
      </c>
      <c r="B59" s="21"/>
      <c r="C59" s="21" t="s">
        <v>529</v>
      </c>
      <c r="D59" s="21"/>
      <c r="E59" s="22">
        <v>750</v>
      </c>
    </row>
    <row r="60" spans="1:5" ht="14.25" x14ac:dyDescent="0.2">
      <c r="A60" s="23"/>
      <c r="B60" s="21"/>
      <c r="C60" s="21"/>
      <c r="D60" s="21"/>
      <c r="E60" s="22"/>
    </row>
    <row r="61" spans="1:5" ht="14.25" x14ac:dyDescent="0.2">
      <c r="A61" s="23"/>
      <c r="B61" s="21"/>
      <c r="C61" s="21"/>
      <c r="D61" s="21"/>
      <c r="E61" s="22"/>
    </row>
    <row r="62" spans="1:5" ht="14.25" x14ac:dyDescent="0.2">
      <c r="A62" s="23">
        <v>590.02</v>
      </c>
      <c r="B62" s="21"/>
      <c r="C62" s="21" t="s">
        <v>595</v>
      </c>
      <c r="D62" s="21"/>
      <c r="E62" s="22">
        <v>0</v>
      </c>
    </row>
    <row r="63" spans="1:5" ht="14.25" x14ac:dyDescent="0.2">
      <c r="A63" s="23"/>
      <c r="B63" s="21"/>
      <c r="C63" s="21" t="s">
        <v>593</v>
      </c>
      <c r="D63" s="21"/>
      <c r="E63" s="24">
        <v>0</v>
      </c>
    </row>
    <row r="64" spans="1:5" ht="14.25" x14ac:dyDescent="0.2">
      <c r="A64" s="23"/>
      <c r="B64" s="21"/>
      <c r="C64" s="21" t="s">
        <v>13</v>
      </c>
      <c r="D64" s="21"/>
      <c r="E64" s="22">
        <f>SUM(E62:E63)</f>
        <v>0</v>
      </c>
    </row>
    <row r="65" spans="1:5" ht="14.25" x14ac:dyDescent="0.2">
      <c r="A65" s="23"/>
      <c r="B65" s="21"/>
      <c r="C65" s="21"/>
      <c r="D65" s="21"/>
      <c r="E65" s="22"/>
    </row>
    <row r="66" spans="1:5" ht="14.25" x14ac:dyDescent="0.2">
      <c r="A66" s="23">
        <v>590.03</v>
      </c>
      <c r="B66" s="21"/>
      <c r="C66" s="21" t="s">
        <v>869</v>
      </c>
      <c r="D66" s="21"/>
      <c r="E66" s="44">
        <v>8220</v>
      </c>
    </row>
    <row r="67" spans="1:5" ht="14.25" x14ac:dyDescent="0.2">
      <c r="A67" s="23"/>
      <c r="B67" s="21"/>
      <c r="C67" s="21" t="s">
        <v>670</v>
      </c>
      <c r="D67" s="21"/>
      <c r="E67" s="22"/>
    </row>
    <row r="68" spans="1:5" ht="14.25" x14ac:dyDescent="0.2">
      <c r="A68" s="23"/>
      <c r="B68" s="21"/>
      <c r="C68" s="21"/>
      <c r="D68" s="21"/>
      <c r="E68" s="22"/>
    </row>
    <row r="69" spans="1:5" ht="14.25" x14ac:dyDescent="0.2">
      <c r="A69" s="23">
        <v>590.04</v>
      </c>
      <c r="B69" s="21"/>
      <c r="C69" s="21" t="s">
        <v>1067</v>
      </c>
      <c r="D69" s="21"/>
      <c r="E69" s="22">
        <v>7100</v>
      </c>
    </row>
    <row r="70" spans="1:5" ht="14.25" x14ac:dyDescent="0.2">
      <c r="A70" s="23"/>
      <c r="B70" s="21"/>
      <c r="C70" s="21" t="s">
        <v>1068</v>
      </c>
      <c r="D70" s="21"/>
      <c r="E70" s="22"/>
    </row>
    <row r="72" spans="1:5" ht="14.25" x14ac:dyDescent="0.2">
      <c r="A72" s="23"/>
      <c r="B72" s="21"/>
      <c r="C72" s="21"/>
      <c r="D72" s="21"/>
      <c r="E72" s="21"/>
    </row>
    <row r="73" spans="1:5" ht="14.25" x14ac:dyDescent="0.2">
      <c r="A73" s="23"/>
      <c r="B73" s="21"/>
      <c r="C73" s="21"/>
      <c r="D73" s="21"/>
      <c r="E73" s="21"/>
    </row>
    <row r="74" spans="1:5" ht="14.25" x14ac:dyDescent="0.2">
      <c r="A74" s="23"/>
      <c r="B74" s="21"/>
      <c r="C74" s="21"/>
      <c r="D74" s="21"/>
      <c r="E74" s="21"/>
    </row>
    <row r="75" spans="1:5" ht="14.25" x14ac:dyDescent="0.2">
      <c r="A75" s="23"/>
      <c r="B75" s="21"/>
      <c r="C75" s="21"/>
      <c r="D75" s="21"/>
      <c r="E75" s="21"/>
    </row>
    <row r="76" spans="1:5" ht="14.25" x14ac:dyDescent="0.2">
      <c r="A76" s="23"/>
      <c r="B76" s="21"/>
      <c r="C76" s="21"/>
      <c r="D76" s="21"/>
      <c r="E76" s="21"/>
    </row>
  </sheetData>
  <printOptions headings="1" gridLines="1"/>
  <pageMargins left="0.7" right="0.7" top="0.75" bottom="0.75" header="0.3" footer="0.3"/>
  <pageSetup scale="90" orientation="portrait" r:id="rId1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>
      <selection activeCell="K8" sqref="K8"/>
    </sheetView>
  </sheetViews>
  <sheetFormatPr defaultRowHeight="12.75" x14ac:dyDescent="0.2"/>
  <cols>
    <col min="5" max="6" width="0" hidden="1" customWidth="1"/>
    <col min="11" max="11" width="10.140625" bestFit="1" customWidth="1"/>
    <col min="12" max="12" width="2.28515625" customWidth="1"/>
    <col min="13" max="13" width="4.140625" customWidth="1"/>
  </cols>
  <sheetData>
    <row r="2" spans="1:11" x14ac:dyDescent="0.2">
      <c r="A2" t="s">
        <v>396</v>
      </c>
    </row>
    <row r="4" spans="1:11" x14ac:dyDescent="0.2">
      <c r="A4" t="s">
        <v>360</v>
      </c>
      <c r="B4" t="s">
        <v>361</v>
      </c>
    </row>
    <row r="5" spans="1:11" x14ac:dyDescent="0.2">
      <c r="A5" t="s">
        <v>362</v>
      </c>
      <c r="B5" t="s">
        <v>410</v>
      </c>
      <c r="K5" s="26" t="s">
        <v>847</v>
      </c>
    </row>
    <row r="6" spans="1:11" x14ac:dyDescent="0.2">
      <c r="E6" s="27" t="s">
        <v>407</v>
      </c>
      <c r="G6" s="27" t="s">
        <v>849</v>
      </c>
      <c r="H6" s="27"/>
      <c r="I6" s="27" t="s">
        <v>969</v>
      </c>
      <c r="K6" s="62" t="s">
        <v>859</v>
      </c>
    </row>
    <row r="7" spans="1:11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</row>
    <row r="8" spans="1:11" x14ac:dyDescent="0.2">
      <c r="A8" s="26" t="s">
        <v>870</v>
      </c>
      <c r="G8" s="25">
        <v>5200</v>
      </c>
      <c r="H8" s="25"/>
      <c r="I8" s="25">
        <f>(2080*30.29)/12</f>
        <v>5250.2666666666664</v>
      </c>
      <c r="J8" s="25"/>
      <c r="K8" s="19">
        <f>SUM(I8*12)/3</f>
        <v>21001.066666666666</v>
      </c>
    </row>
    <row r="9" spans="1:11" x14ac:dyDescent="0.2">
      <c r="B9" t="s">
        <v>979</v>
      </c>
    </row>
    <row r="10" spans="1:11" x14ac:dyDescent="0.2">
      <c r="A10" t="s">
        <v>453</v>
      </c>
      <c r="E10" s="19">
        <v>4668</v>
      </c>
      <c r="F10" s="19"/>
      <c r="G10" s="19">
        <v>4031.7333333333336</v>
      </c>
      <c r="H10" s="19"/>
      <c r="I10" s="19">
        <f>(2080*24.26)/12</f>
        <v>4205.0666666666666</v>
      </c>
      <c r="J10" s="19"/>
      <c r="K10" s="19">
        <f>SUM(I10*12)</f>
        <v>50460.800000000003</v>
      </c>
    </row>
    <row r="11" spans="1:11" x14ac:dyDescent="0.2">
      <c r="E11" s="19"/>
      <c r="F11" s="19"/>
      <c r="G11" s="19"/>
      <c r="H11" s="19"/>
      <c r="I11" s="19"/>
      <c r="J11" s="19"/>
      <c r="K11" s="19"/>
    </row>
    <row r="12" spans="1:11" x14ac:dyDescent="0.2">
      <c r="A12" t="s">
        <v>980</v>
      </c>
      <c r="E12" s="19">
        <v>3061</v>
      </c>
      <c r="F12" s="19"/>
      <c r="G12" s="19">
        <v>2716.1333333333332</v>
      </c>
      <c r="H12" s="19"/>
      <c r="I12" s="19">
        <f>(2080*15.67)/12</f>
        <v>2716.1333333333332</v>
      </c>
      <c r="J12" s="19"/>
      <c r="K12" s="19">
        <f>SUM(I12*12)</f>
        <v>32593.599999999999</v>
      </c>
    </row>
    <row r="13" spans="1:11" x14ac:dyDescent="0.2">
      <c r="E13" s="19"/>
      <c r="F13" s="19"/>
      <c r="G13" s="19"/>
      <c r="H13" s="19"/>
      <c r="I13" s="19"/>
      <c r="J13" s="19"/>
      <c r="K13" s="19"/>
    </row>
    <row r="14" spans="1:11" x14ac:dyDescent="0.2">
      <c r="A14" t="s">
        <v>455</v>
      </c>
      <c r="E14" s="19">
        <v>2548</v>
      </c>
      <c r="F14" s="19"/>
      <c r="G14" s="19">
        <v>2355.6</v>
      </c>
      <c r="H14" s="19"/>
      <c r="I14" s="19">
        <f>(2080*13.59)/12</f>
        <v>2355.6</v>
      </c>
      <c r="J14" s="19"/>
      <c r="K14" s="19">
        <f>SUM(I14*12)</f>
        <v>28267.199999999997</v>
      </c>
    </row>
    <row r="15" spans="1:11" x14ac:dyDescent="0.2">
      <c r="E15" s="19"/>
      <c r="F15" s="19"/>
      <c r="G15" s="19"/>
      <c r="H15" s="19"/>
      <c r="I15" s="19"/>
      <c r="J15" s="19"/>
      <c r="K15" s="19"/>
    </row>
    <row r="16" spans="1:11" x14ac:dyDescent="0.2">
      <c r="A16" t="s">
        <v>455</v>
      </c>
      <c r="E16" s="19">
        <v>2548</v>
      </c>
      <c r="F16" s="19"/>
      <c r="G16" s="19">
        <v>2080</v>
      </c>
      <c r="H16" s="19"/>
      <c r="I16" s="19">
        <f>(2080*14)/12</f>
        <v>2426.6666666666665</v>
      </c>
      <c r="J16" s="19"/>
      <c r="K16" s="19">
        <f>SUM(I16*12)</f>
        <v>29120</v>
      </c>
    </row>
    <row r="17" spans="1:11" x14ac:dyDescent="0.2">
      <c r="E17" s="19"/>
      <c r="F17" s="19"/>
      <c r="G17" s="19"/>
      <c r="H17" s="19"/>
      <c r="I17" s="19"/>
      <c r="J17" s="19"/>
      <c r="K17" s="19"/>
    </row>
    <row r="18" spans="1:11" x14ac:dyDescent="0.2">
      <c r="A18" t="s">
        <v>519</v>
      </c>
      <c r="E18" s="19" t="s">
        <v>518</v>
      </c>
      <c r="F18" s="19"/>
      <c r="G18" s="19" t="s">
        <v>518</v>
      </c>
      <c r="H18" s="19"/>
      <c r="I18" s="19"/>
      <c r="J18" s="19"/>
      <c r="K18" s="19">
        <f>SUM(I18*12)</f>
        <v>0</v>
      </c>
    </row>
    <row r="19" spans="1:11" x14ac:dyDescent="0.2">
      <c r="A19" t="s">
        <v>517</v>
      </c>
      <c r="E19" s="19"/>
      <c r="F19" s="19"/>
      <c r="G19" s="19"/>
      <c r="H19" s="19"/>
      <c r="I19" s="19"/>
      <c r="J19" s="19"/>
      <c r="K19" s="19"/>
    </row>
    <row r="20" spans="1:11" x14ac:dyDescent="0.2">
      <c r="E20" s="19"/>
      <c r="F20" s="19"/>
      <c r="G20" s="19"/>
      <c r="H20" s="19"/>
      <c r="I20" s="19"/>
      <c r="J20" s="19"/>
      <c r="K20" s="19"/>
    </row>
    <row r="21" spans="1:11" x14ac:dyDescent="0.2">
      <c r="A21" t="s">
        <v>426</v>
      </c>
      <c r="E21" s="19"/>
      <c r="F21" s="19"/>
      <c r="G21" s="19"/>
      <c r="H21" s="19"/>
      <c r="I21" s="19"/>
      <c r="J21" s="19"/>
      <c r="K21" s="56">
        <v>2825.83</v>
      </c>
    </row>
    <row r="22" spans="1:11" x14ac:dyDescent="0.2">
      <c r="E22" s="19"/>
      <c r="F22" s="19"/>
      <c r="G22" s="19"/>
      <c r="H22" s="19"/>
      <c r="I22" s="19"/>
      <c r="J22" s="19"/>
      <c r="K22" s="19"/>
    </row>
    <row r="23" spans="1:11" x14ac:dyDescent="0.2">
      <c r="A23" t="s">
        <v>403</v>
      </c>
      <c r="E23" s="19"/>
      <c r="F23" s="19"/>
      <c r="G23" s="19"/>
      <c r="H23" s="19"/>
      <c r="I23" s="19"/>
      <c r="J23" s="19"/>
      <c r="K23" s="19">
        <f>SUM(K10:K22)</f>
        <v>143267.42999999996</v>
      </c>
    </row>
    <row r="24" spans="1:11" x14ac:dyDescent="0.2">
      <c r="E24" s="19"/>
      <c r="F24" s="19"/>
      <c r="G24" s="19"/>
      <c r="H24" s="19"/>
      <c r="I24" s="19"/>
      <c r="J24" s="19"/>
      <c r="K24" s="19"/>
    </row>
    <row r="25" spans="1:11" x14ac:dyDescent="0.2">
      <c r="E25" s="19"/>
      <c r="F25" s="19"/>
      <c r="G25" s="19"/>
      <c r="H25" s="19"/>
      <c r="I25" s="19"/>
      <c r="J25" s="19"/>
      <c r="K25" s="19"/>
    </row>
    <row r="26" spans="1:11" x14ac:dyDescent="0.2">
      <c r="E26" s="19"/>
      <c r="F26" s="19"/>
      <c r="G26" s="19"/>
      <c r="H26" s="19"/>
      <c r="I26" s="19"/>
      <c r="J26" s="19"/>
      <c r="K26" s="19"/>
    </row>
    <row r="27" spans="1:11" x14ac:dyDescent="0.2">
      <c r="E27" s="19"/>
      <c r="F27" s="19"/>
      <c r="G27" s="19"/>
      <c r="H27" s="19"/>
      <c r="I27" s="19"/>
      <c r="J27" s="19"/>
      <c r="K27" s="19"/>
    </row>
    <row r="28" spans="1:11" x14ac:dyDescent="0.2">
      <c r="E28" s="19"/>
      <c r="F28" s="19"/>
      <c r="G28" s="19"/>
      <c r="H28" s="19"/>
      <c r="I28" s="19"/>
      <c r="J28" s="19"/>
      <c r="K28" s="19"/>
    </row>
    <row r="29" spans="1:11" x14ac:dyDescent="0.2">
      <c r="E29" s="19"/>
      <c r="F29" s="19"/>
      <c r="G29" s="19"/>
      <c r="H29" s="19"/>
      <c r="I29" s="19"/>
      <c r="J29" s="19"/>
      <c r="K29" s="19"/>
    </row>
  </sheetData>
  <pageMargins left="0.7" right="0.7" top="0.75" bottom="0.75" header="0.3" footer="0.3"/>
  <pageSetup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opLeftCell="A28" zoomScaleNormal="100" workbookViewId="0">
      <selection activeCell="C64" sqref="C64"/>
    </sheetView>
  </sheetViews>
  <sheetFormatPr defaultRowHeight="12.75" x14ac:dyDescent="0.2"/>
  <cols>
    <col min="3" max="3" width="50.5703125" customWidth="1"/>
    <col min="4" max="4" width="3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361</v>
      </c>
      <c r="D4" s="9"/>
      <c r="E4" s="26" t="s">
        <v>847</v>
      </c>
    </row>
    <row r="5" spans="1:5" x14ac:dyDescent="0.2">
      <c r="A5" s="9" t="s">
        <v>362</v>
      </c>
      <c r="B5" s="9"/>
      <c r="C5" s="9" t="s">
        <v>410</v>
      </c>
      <c r="D5" s="9"/>
    </row>
    <row r="6" spans="1:5" x14ac:dyDescent="0.2">
      <c r="A6" s="9"/>
      <c r="B6" s="9"/>
      <c r="C6" s="9"/>
      <c r="D6" s="9"/>
      <c r="E6" s="17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1">
        <v>510.01</v>
      </c>
      <c r="B9" s="21"/>
      <c r="C9" s="21" t="s">
        <v>717</v>
      </c>
      <c r="D9" s="21"/>
      <c r="E9" s="22">
        <f>(23.08*26)+(11.54*26)</f>
        <v>900.11999999999989</v>
      </c>
    </row>
    <row r="10" spans="1:5" ht="14.25" x14ac:dyDescent="0.2">
      <c r="A10" s="21"/>
      <c r="B10" s="21"/>
      <c r="C10" s="21"/>
      <c r="D10" s="21"/>
      <c r="E10" s="22"/>
    </row>
    <row r="11" spans="1:5" ht="14.25" x14ac:dyDescent="0.2">
      <c r="A11" s="21">
        <v>510.03</v>
      </c>
      <c r="B11" s="21"/>
      <c r="C11" s="21" t="s">
        <v>580</v>
      </c>
      <c r="D11" s="21"/>
      <c r="E11" s="22">
        <v>20000</v>
      </c>
    </row>
    <row r="12" spans="1:5" ht="14.25" x14ac:dyDescent="0.2">
      <c r="A12" s="21"/>
      <c r="B12" s="21"/>
      <c r="C12" s="21"/>
      <c r="D12" s="21"/>
      <c r="E12" s="22"/>
    </row>
    <row r="13" spans="1:5" ht="14.25" x14ac:dyDescent="0.2">
      <c r="A13" s="23">
        <v>510.05</v>
      </c>
      <c r="B13" s="21"/>
      <c r="C13" s="21" t="s">
        <v>753</v>
      </c>
      <c r="D13" s="21"/>
      <c r="E13" s="22">
        <v>31712</v>
      </c>
    </row>
    <row r="14" spans="1:5" ht="14.25" x14ac:dyDescent="0.2">
      <c r="A14" s="23"/>
      <c r="B14" s="21"/>
      <c r="C14" s="21" t="s">
        <v>456</v>
      </c>
      <c r="D14" s="21"/>
      <c r="E14" s="22">
        <v>1152</v>
      </c>
    </row>
    <row r="15" spans="1:5" ht="14.25" x14ac:dyDescent="0.2">
      <c r="A15" s="23"/>
      <c r="B15" s="21"/>
      <c r="C15" s="21" t="s">
        <v>525</v>
      </c>
      <c r="D15" s="21"/>
      <c r="E15" s="12">
        <f>(800)*1.015</f>
        <v>811.99999999999989</v>
      </c>
    </row>
    <row r="16" spans="1:5" ht="14.25" x14ac:dyDescent="0.2">
      <c r="A16" s="23"/>
      <c r="B16" s="21"/>
      <c r="C16" s="21" t="s">
        <v>457</v>
      </c>
      <c r="D16" s="21"/>
      <c r="E16" s="22">
        <v>144</v>
      </c>
    </row>
    <row r="17" spans="1:5" ht="14.25" x14ac:dyDescent="0.2">
      <c r="A17" s="23"/>
      <c r="B17" s="21"/>
      <c r="C17" s="21" t="s">
        <v>458</v>
      </c>
      <c r="D17" s="21"/>
      <c r="E17" s="24">
        <v>220</v>
      </c>
    </row>
    <row r="18" spans="1:5" ht="14.25" x14ac:dyDescent="0.2">
      <c r="A18" s="23"/>
      <c r="B18" s="21"/>
      <c r="C18" s="21" t="s">
        <v>369</v>
      </c>
      <c r="D18" s="21"/>
      <c r="E18" s="22">
        <f>SUM(E13:E17)</f>
        <v>34040</v>
      </c>
    </row>
    <row r="19" spans="1:5" ht="14.25" x14ac:dyDescent="0.2">
      <c r="A19" s="23"/>
      <c r="B19" s="21"/>
      <c r="C19" s="21"/>
      <c r="D19" s="21"/>
      <c r="E19" s="22"/>
    </row>
    <row r="20" spans="1:5" ht="14.25" x14ac:dyDescent="0.2">
      <c r="A20" s="23">
        <v>510.06</v>
      </c>
      <c r="B20" s="21"/>
      <c r="C20" s="21" t="s">
        <v>373</v>
      </c>
      <c r="D20" s="21"/>
      <c r="E20" s="22">
        <f>+'Personnel Sched-Street'!K23*0.0765</f>
        <v>10959.958394999998</v>
      </c>
    </row>
    <row r="21" spans="1:5" ht="14.25" x14ac:dyDescent="0.2">
      <c r="A21" s="23"/>
      <c r="B21" s="21"/>
      <c r="C21" s="21"/>
      <c r="D21" s="21"/>
      <c r="E21" s="22"/>
    </row>
    <row r="22" spans="1:5" ht="14.25" x14ac:dyDescent="0.2">
      <c r="A22" s="23">
        <v>510.07</v>
      </c>
      <c r="B22" s="21"/>
      <c r="C22" s="21" t="s">
        <v>860</v>
      </c>
      <c r="D22" s="21"/>
      <c r="E22" s="22">
        <f>+'Personnel Sched-Street'!K23*0.0502</f>
        <v>7192.0249859999985</v>
      </c>
    </row>
    <row r="23" spans="1:5" ht="14.25" x14ac:dyDescent="0.2">
      <c r="A23" s="23"/>
      <c r="B23" s="21"/>
      <c r="C23" s="21"/>
      <c r="D23" s="21"/>
      <c r="E23" s="22"/>
    </row>
    <row r="24" spans="1:5" ht="14.25" x14ac:dyDescent="0.2">
      <c r="A24" s="23">
        <v>510.08</v>
      </c>
      <c r="B24" s="21"/>
      <c r="C24" s="21" t="s">
        <v>459</v>
      </c>
      <c r="D24" s="21"/>
      <c r="E24" s="22">
        <f>(10277)*1.015</f>
        <v>10431.154999999999</v>
      </c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>
        <v>510.09</v>
      </c>
      <c r="B26" s="21"/>
      <c r="C26" s="21" t="s">
        <v>691</v>
      </c>
      <c r="D26" s="21"/>
      <c r="E26" s="22">
        <v>1622</v>
      </c>
    </row>
    <row r="27" spans="1:5" ht="14.25" x14ac:dyDescent="0.2">
      <c r="A27" s="23"/>
      <c r="B27" s="21"/>
      <c r="C27" s="21"/>
      <c r="D27" s="21"/>
      <c r="E27" s="22"/>
    </row>
    <row r="28" spans="1:5" ht="14.25" x14ac:dyDescent="0.2">
      <c r="A28" s="23">
        <v>510.11</v>
      </c>
      <c r="B28" s="21"/>
      <c r="C28" s="21" t="s">
        <v>535</v>
      </c>
      <c r="D28" s="21"/>
      <c r="E28" s="22">
        <v>0</v>
      </c>
    </row>
    <row r="29" spans="1:5" ht="14.25" x14ac:dyDescent="0.2">
      <c r="A29" s="23"/>
      <c r="B29" s="21"/>
      <c r="C29" s="21"/>
      <c r="D29" s="21"/>
      <c r="E29" s="22"/>
    </row>
    <row r="30" spans="1:5" ht="14.25" x14ac:dyDescent="0.2">
      <c r="A30" s="23">
        <v>510.12</v>
      </c>
      <c r="B30" s="21"/>
      <c r="C30" s="21" t="s">
        <v>692</v>
      </c>
      <c r="D30" s="21"/>
      <c r="E30" s="22">
        <v>3300</v>
      </c>
    </row>
    <row r="31" spans="1:5" ht="14.25" x14ac:dyDescent="0.2">
      <c r="A31" s="23"/>
      <c r="B31" s="21"/>
      <c r="C31" s="21"/>
      <c r="D31" s="21"/>
      <c r="E31" s="22"/>
    </row>
    <row r="32" spans="1:5" ht="14.25" x14ac:dyDescent="0.2">
      <c r="A32" s="23">
        <v>520.04</v>
      </c>
      <c r="B32" s="21"/>
      <c r="C32" s="21" t="s">
        <v>197</v>
      </c>
      <c r="D32" s="21"/>
      <c r="E32" s="22">
        <v>4500</v>
      </c>
    </row>
    <row r="33" spans="1:5" ht="14.25" x14ac:dyDescent="0.2">
      <c r="A33" s="23"/>
      <c r="B33" s="21"/>
      <c r="C33" s="21" t="s">
        <v>581</v>
      </c>
      <c r="D33" s="21"/>
      <c r="E33" s="22">
        <v>500</v>
      </c>
    </row>
    <row r="34" spans="1:5" ht="14.25" x14ac:dyDescent="0.2">
      <c r="A34" s="23"/>
      <c r="B34" s="21"/>
      <c r="C34" s="21" t="s">
        <v>460</v>
      </c>
      <c r="D34" s="21"/>
      <c r="E34" s="24">
        <v>500</v>
      </c>
    </row>
    <row r="35" spans="1:5" ht="14.25" x14ac:dyDescent="0.2">
      <c r="A35" s="23"/>
      <c r="B35" s="21"/>
      <c r="C35" s="21" t="s">
        <v>13</v>
      </c>
      <c r="D35" s="21"/>
      <c r="E35" s="22">
        <f>SUM(E32:E34)</f>
        <v>5500</v>
      </c>
    </row>
    <row r="36" spans="1:5" ht="14.25" x14ac:dyDescent="0.2">
      <c r="A36" s="23"/>
      <c r="B36" s="21"/>
      <c r="C36" s="21"/>
      <c r="D36" s="21"/>
      <c r="E36" s="22"/>
    </row>
    <row r="37" spans="1:5" ht="14.25" x14ac:dyDescent="0.2">
      <c r="A37" s="23">
        <v>520.09</v>
      </c>
      <c r="B37" s="21"/>
      <c r="C37" s="21" t="s">
        <v>461</v>
      </c>
      <c r="D37" s="21"/>
      <c r="E37" s="22">
        <v>2000</v>
      </c>
    </row>
    <row r="38" spans="1:5" ht="14.25" x14ac:dyDescent="0.2">
      <c r="A38" s="23"/>
      <c r="B38" s="21"/>
      <c r="C38" s="21"/>
      <c r="D38" s="21"/>
      <c r="E38" s="22"/>
    </row>
    <row r="39" spans="1:5" ht="14.25" x14ac:dyDescent="0.2">
      <c r="A39" s="23">
        <v>530.02</v>
      </c>
      <c r="B39" s="21"/>
      <c r="C39" s="21" t="s">
        <v>513</v>
      </c>
      <c r="D39" s="21"/>
      <c r="E39" s="22">
        <v>7000</v>
      </c>
    </row>
    <row r="40" spans="1:5" ht="14.25" x14ac:dyDescent="0.2">
      <c r="A40" s="23"/>
      <c r="B40" s="21"/>
      <c r="C40" s="21" t="s">
        <v>514</v>
      </c>
      <c r="D40" s="21"/>
      <c r="E40" s="22">
        <v>4000</v>
      </c>
    </row>
    <row r="41" spans="1:5" ht="14.25" x14ac:dyDescent="0.2">
      <c r="A41" s="23"/>
      <c r="B41" s="21"/>
      <c r="C41" s="21" t="s">
        <v>462</v>
      </c>
      <c r="D41" s="21"/>
      <c r="E41" s="24">
        <v>1000</v>
      </c>
    </row>
    <row r="42" spans="1:5" ht="14.25" x14ac:dyDescent="0.2">
      <c r="A42" s="23"/>
      <c r="B42" s="21"/>
      <c r="C42" s="21" t="s">
        <v>13</v>
      </c>
      <c r="D42" s="21"/>
      <c r="E42" s="22">
        <f>SUM(E39:E41)</f>
        <v>12000</v>
      </c>
    </row>
    <row r="43" spans="1:5" ht="14.25" x14ac:dyDescent="0.2">
      <c r="A43" s="23"/>
      <c r="B43" s="21"/>
      <c r="C43" s="21"/>
      <c r="D43" s="21"/>
      <c r="E43" s="22"/>
    </row>
    <row r="44" spans="1:5" ht="14.25" x14ac:dyDescent="0.2">
      <c r="A44" s="23">
        <v>530.11</v>
      </c>
      <c r="B44" s="21"/>
      <c r="C44" s="21" t="s">
        <v>463</v>
      </c>
      <c r="D44" s="21"/>
      <c r="E44" s="22">
        <v>60500</v>
      </c>
    </row>
    <row r="45" spans="1:5" ht="14.25" x14ac:dyDescent="0.2">
      <c r="A45" s="23"/>
      <c r="B45" s="21"/>
      <c r="C45" s="21" t="s">
        <v>464</v>
      </c>
      <c r="D45" s="21"/>
      <c r="E45" s="24">
        <v>1500</v>
      </c>
    </row>
    <row r="46" spans="1:5" ht="14.25" x14ac:dyDescent="0.2">
      <c r="A46" s="23"/>
      <c r="B46" s="21"/>
      <c r="C46" s="21" t="s">
        <v>13</v>
      </c>
      <c r="D46" s="21"/>
      <c r="E46" s="22">
        <f>SUM(E44:E45)</f>
        <v>62000</v>
      </c>
    </row>
    <row r="47" spans="1:5" ht="14.25" x14ac:dyDescent="0.2">
      <c r="A47" s="23"/>
      <c r="B47" s="21"/>
      <c r="C47" s="21"/>
      <c r="D47" s="21"/>
      <c r="E47" s="22"/>
    </row>
    <row r="48" spans="1:5" ht="14.25" x14ac:dyDescent="0.2">
      <c r="A48" s="23">
        <v>540.01</v>
      </c>
      <c r="B48" s="21"/>
      <c r="C48" s="21" t="s">
        <v>381</v>
      </c>
      <c r="D48" s="21"/>
      <c r="E48" s="22">
        <v>2000</v>
      </c>
    </row>
    <row r="49" spans="1:5" ht="14.25" x14ac:dyDescent="0.2">
      <c r="A49" s="23"/>
      <c r="B49" s="21"/>
      <c r="C49" s="21"/>
      <c r="D49" s="21"/>
      <c r="E49" s="22"/>
    </row>
    <row r="50" spans="1:5" ht="14.25" x14ac:dyDescent="0.2">
      <c r="A50" s="23">
        <v>540.05999999999995</v>
      </c>
      <c r="B50" s="21"/>
      <c r="C50" s="21" t="s">
        <v>465</v>
      </c>
      <c r="D50" s="21"/>
      <c r="E50" s="22">
        <v>36000</v>
      </c>
    </row>
    <row r="51" spans="1:5" ht="14.25" x14ac:dyDescent="0.2">
      <c r="A51" s="23"/>
      <c r="B51" s="21"/>
      <c r="C51" s="21"/>
      <c r="D51" s="21"/>
      <c r="E51" s="22"/>
    </row>
    <row r="52" spans="1:5" ht="14.25" x14ac:dyDescent="0.2">
      <c r="A52" s="23">
        <v>540.07000000000005</v>
      </c>
      <c r="B52" s="21"/>
      <c r="C52" s="21" t="s">
        <v>466</v>
      </c>
      <c r="D52" s="21"/>
      <c r="E52" s="22"/>
    </row>
    <row r="53" spans="1:5" ht="14.25" x14ac:dyDescent="0.2">
      <c r="A53" s="23"/>
      <c r="B53" s="21"/>
      <c r="C53" s="21" t="s">
        <v>467</v>
      </c>
      <c r="D53" s="21"/>
      <c r="E53" s="22">
        <f>3*2500</f>
        <v>7500</v>
      </c>
    </row>
    <row r="54" spans="1:5" ht="14.25" x14ac:dyDescent="0.2">
      <c r="A54" s="23"/>
      <c r="B54" s="21"/>
      <c r="C54" s="21" t="s">
        <v>468</v>
      </c>
      <c r="D54" s="21"/>
      <c r="E54" s="24">
        <v>26000</v>
      </c>
    </row>
    <row r="55" spans="1:5" ht="14.25" x14ac:dyDescent="0.2">
      <c r="A55" s="23"/>
      <c r="B55" s="21"/>
      <c r="C55" s="21" t="s">
        <v>13</v>
      </c>
      <c r="D55" s="21"/>
      <c r="E55" s="22">
        <f>SUM(E52:E54)</f>
        <v>33500</v>
      </c>
    </row>
    <row r="56" spans="1:5" ht="14.25" x14ac:dyDescent="0.2">
      <c r="A56" s="23"/>
      <c r="B56" s="21"/>
      <c r="C56" s="21"/>
      <c r="D56" s="21"/>
      <c r="E56" s="22"/>
    </row>
    <row r="57" spans="1:5" ht="14.25" x14ac:dyDescent="0.2">
      <c r="A57" s="23">
        <v>580.14</v>
      </c>
      <c r="B57" s="21"/>
      <c r="C57" s="21" t="s">
        <v>754</v>
      </c>
      <c r="D57" s="21"/>
      <c r="E57" s="22">
        <v>3000</v>
      </c>
    </row>
    <row r="58" spans="1:5" ht="14.25" x14ac:dyDescent="0.2">
      <c r="A58" s="23"/>
      <c r="B58" s="21"/>
      <c r="C58" s="21" t="s">
        <v>755</v>
      </c>
      <c r="D58" s="21"/>
      <c r="E58" s="24">
        <v>6000</v>
      </c>
    </row>
    <row r="59" spans="1:5" ht="14.25" x14ac:dyDescent="0.2">
      <c r="A59" s="23"/>
      <c r="B59" s="21"/>
      <c r="C59" s="21" t="s">
        <v>13</v>
      </c>
      <c r="D59" s="21"/>
      <c r="E59" s="22">
        <f>SUM(E57:E58)</f>
        <v>9000</v>
      </c>
    </row>
    <row r="60" spans="1:5" ht="14.25" x14ac:dyDescent="0.2">
      <c r="A60" s="23"/>
      <c r="B60" s="21"/>
      <c r="C60" s="21"/>
      <c r="D60" s="21"/>
      <c r="E60" s="22"/>
    </row>
    <row r="61" spans="1:5" ht="14.25" x14ac:dyDescent="0.2">
      <c r="A61" s="23">
        <v>590.02</v>
      </c>
      <c r="B61" s="21"/>
      <c r="C61" s="21" t="s">
        <v>971</v>
      </c>
      <c r="D61" s="21"/>
      <c r="E61" s="22">
        <v>11000</v>
      </c>
    </row>
    <row r="62" spans="1:5" ht="14.25" x14ac:dyDescent="0.2">
      <c r="A62" s="23"/>
      <c r="B62" s="21"/>
      <c r="C62" s="21"/>
      <c r="D62" s="21"/>
      <c r="E62" s="22"/>
    </row>
    <row r="63" spans="1:5" ht="14.25" x14ac:dyDescent="0.2">
      <c r="A63" s="23">
        <v>590.04</v>
      </c>
      <c r="B63" s="21"/>
      <c r="C63" s="21" t="s">
        <v>1066</v>
      </c>
      <c r="D63" s="21"/>
      <c r="E63" s="22">
        <v>9000</v>
      </c>
    </row>
    <row r="64" spans="1:5" ht="14.25" x14ac:dyDescent="0.2">
      <c r="A64" s="23"/>
      <c r="B64" s="21"/>
      <c r="C64" s="21"/>
      <c r="D64" s="21"/>
      <c r="E64" s="22"/>
    </row>
    <row r="65" spans="1:5" ht="14.25" x14ac:dyDescent="0.2">
      <c r="A65" s="37"/>
      <c r="B65" s="21"/>
      <c r="C65" s="21"/>
      <c r="D65" s="21"/>
      <c r="E65" s="22"/>
    </row>
    <row r="66" spans="1:5" ht="14.25" x14ac:dyDescent="0.2">
      <c r="A66" s="23"/>
      <c r="B66" s="21"/>
      <c r="C66" s="21"/>
      <c r="D66" s="21"/>
      <c r="E66" s="22"/>
    </row>
    <row r="67" spans="1:5" ht="14.25" x14ac:dyDescent="0.2">
      <c r="A67" s="23"/>
      <c r="B67" s="21"/>
      <c r="C67" s="21"/>
      <c r="D67" s="21"/>
      <c r="E67" s="22"/>
    </row>
    <row r="68" spans="1:5" ht="14.25" x14ac:dyDescent="0.2">
      <c r="A68" s="23"/>
      <c r="B68" s="21"/>
      <c r="C68" s="21"/>
      <c r="D68" s="21"/>
      <c r="E68" s="22"/>
    </row>
    <row r="69" spans="1:5" ht="14.25" x14ac:dyDescent="0.2">
      <c r="A69" s="23"/>
      <c r="B69" s="21"/>
      <c r="C69" s="21"/>
      <c r="D69" s="21"/>
      <c r="E69" s="22"/>
    </row>
    <row r="70" spans="1:5" ht="14.25" x14ac:dyDescent="0.2">
      <c r="A70" s="23"/>
      <c r="B70" s="21"/>
      <c r="C70" s="21"/>
      <c r="D70" s="21"/>
      <c r="E70" s="22"/>
    </row>
    <row r="71" spans="1:5" ht="14.25" x14ac:dyDescent="0.2">
      <c r="A71" s="23"/>
      <c r="B71" s="21"/>
      <c r="C71" s="21"/>
      <c r="D71" s="21"/>
      <c r="E71" s="22"/>
    </row>
    <row r="72" spans="1:5" ht="14.25" x14ac:dyDescent="0.2">
      <c r="A72" s="21"/>
      <c r="B72" s="21"/>
      <c r="C72" s="21"/>
      <c r="D72" s="21"/>
      <c r="E72" s="22"/>
    </row>
    <row r="73" spans="1:5" ht="14.25" x14ac:dyDescent="0.2">
      <c r="A73" s="21"/>
      <c r="B73" s="21"/>
      <c r="C73" s="21"/>
      <c r="D73" s="21"/>
      <c r="E73" s="22"/>
    </row>
  </sheetData>
  <printOptions headings="1" gridLines="1"/>
  <pageMargins left="0.7" right="0.7" top="0.75" bottom="0.75" header="0.3" footer="0.3"/>
  <pageSetup scale="89" orientation="portrait" r:id="rId1"/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C12" sqref="C12"/>
    </sheetView>
  </sheetViews>
  <sheetFormatPr defaultRowHeight="12.75" x14ac:dyDescent="0.2"/>
  <cols>
    <col min="3" max="3" width="45.5703125" customWidth="1"/>
    <col min="4" max="4" width="1.4257812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361</v>
      </c>
      <c r="D4" s="9"/>
      <c r="E4" s="9"/>
    </row>
    <row r="5" spans="1:5" x14ac:dyDescent="0.2">
      <c r="A5" s="9" t="s">
        <v>362</v>
      </c>
      <c r="B5" s="9"/>
      <c r="C5" s="9" t="s">
        <v>411</v>
      </c>
      <c r="D5" s="9"/>
      <c r="E5" s="9"/>
    </row>
    <row r="6" spans="1:5" x14ac:dyDescent="0.2">
      <c r="A6" s="9"/>
      <c r="B6" s="9"/>
      <c r="C6" s="9"/>
      <c r="D6" s="9"/>
      <c r="E6" s="9"/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3">
        <v>520.01</v>
      </c>
      <c r="B9" s="21"/>
      <c r="C9" s="21" t="s">
        <v>161</v>
      </c>
      <c r="D9" s="21"/>
      <c r="E9" s="22">
        <v>100</v>
      </c>
    </row>
    <row r="10" spans="1:5" ht="14.25" x14ac:dyDescent="0.2">
      <c r="A10" s="23"/>
      <c r="B10" s="21"/>
      <c r="C10" s="21"/>
      <c r="D10" s="21"/>
      <c r="E10" s="22"/>
    </row>
    <row r="11" spans="1:5" ht="14.25" x14ac:dyDescent="0.2">
      <c r="A11" s="23">
        <v>520.05999999999995</v>
      </c>
      <c r="B11" s="21"/>
      <c r="C11" s="21" t="s">
        <v>469</v>
      </c>
      <c r="D11" s="21"/>
      <c r="E11" s="22">
        <v>300</v>
      </c>
    </row>
    <row r="12" spans="1:5" ht="14.25" x14ac:dyDescent="0.2">
      <c r="A12" s="23"/>
      <c r="B12" s="21"/>
      <c r="C12" s="21"/>
      <c r="D12" s="21"/>
      <c r="E12" s="22"/>
    </row>
    <row r="13" spans="1:5" ht="14.25" x14ac:dyDescent="0.2">
      <c r="A13" s="23">
        <v>520.07000000000005</v>
      </c>
      <c r="B13" s="21"/>
      <c r="C13" s="21" t="s">
        <v>935</v>
      </c>
      <c r="D13" s="21"/>
      <c r="E13" s="22">
        <v>500</v>
      </c>
    </row>
    <row r="14" spans="1:5" ht="14.25" x14ac:dyDescent="0.2">
      <c r="A14" s="23"/>
      <c r="B14" s="21"/>
      <c r="C14" s="21"/>
      <c r="D14" s="21"/>
      <c r="E14" s="22"/>
    </row>
    <row r="15" spans="1:5" ht="14.25" x14ac:dyDescent="0.2">
      <c r="A15" s="23">
        <v>530.01</v>
      </c>
      <c r="B15" s="21"/>
      <c r="C15" s="21" t="s">
        <v>936</v>
      </c>
      <c r="D15" s="21"/>
      <c r="E15" s="22">
        <v>500</v>
      </c>
    </row>
    <row r="16" spans="1:5" ht="14.25" x14ac:dyDescent="0.2">
      <c r="A16" s="23"/>
      <c r="B16" s="21"/>
      <c r="C16" s="21"/>
      <c r="D16" s="21"/>
      <c r="E16" s="22"/>
    </row>
    <row r="17" spans="1:5" ht="14.25" x14ac:dyDescent="0.2">
      <c r="A17" s="23">
        <v>530.13</v>
      </c>
      <c r="B17" s="21"/>
      <c r="C17" s="21" t="s">
        <v>303</v>
      </c>
      <c r="D17" s="21"/>
      <c r="E17" s="22">
        <v>300</v>
      </c>
    </row>
    <row r="18" spans="1:5" ht="14.25" x14ac:dyDescent="0.2">
      <c r="A18" s="23"/>
      <c r="B18" s="21"/>
      <c r="C18" s="21"/>
      <c r="D18" s="21"/>
      <c r="E18" s="22"/>
    </row>
    <row r="19" spans="1:5" ht="14.25" x14ac:dyDescent="0.2">
      <c r="A19" s="23">
        <v>540.07000000000005</v>
      </c>
      <c r="B19" s="21"/>
      <c r="C19" s="21" t="s">
        <v>603</v>
      </c>
      <c r="D19" s="21"/>
      <c r="E19" s="22">
        <v>500</v>
      </c>
    </row>
    <row r="20" spans="1:5" ht="14.25" x14ac:dyDescent="0.2">
      <c r="A20" s="23"/>
      <c r="B20" s="21"/>
      <c r="C20" s="21"/>
      <c r="D20" s="21"/>
      <c r="E20" s="22"/>
    </row>
    <row r="21" spans="1:5" ht="14.25" x14ac:dyDescent="0.2">
      <c r="A21" s="23">
        <v>560.1</v>
      </c>
      <c r="B21" s="21"/>
      <c r="C21" s="21" t="s">
        <v>217</v>
      </c>
      <c r="D21" s="21"/>
      <c r="E21" s="22">
        <v>500</v>
      </c>
    </row>
    <row r="22" spans="1:5" ht="14.25" x14ac:dyDescent="0.2">
      <c r="A22" s="23"/>
      <c r="B22" s="21"/>
      <c r="C22" s="21"/>
      <c r="D22" s="21"/>
      <c r="E22" s="22"/>
    </row>
    <row r="23" spans="1:5" ht="14.25" x14ac:dyDescent="0.2">
      <c r="A23" s="23">
        <v>590.02</v>
      </c>
      <c r="B23" s="21"/>
      <c r="C23" s="21" t="s">
        <v>204</v>
      </c>
      <c r="D23" s="21">
        <v>2500</v>
      </c>
      <c r="E23" s="22">
        <v>2500</v>
      </c>
    </row>
    <row r="24" spans="1:5" ht="14.25" x14ac:dyDescent="0.2">
      <c r="A24" s="23"/>
      <c r="B24" s="21"/>
      <c r="C24" s="21"/>
      <c r="D24" s="21"/>
      <c r="E24" s="22"/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/>
      <c r="B26" s="21"/>
      <c r="C26" s="21"/>
      <c r="D26" s="21"/>
      <c r="E26" s="68">
        <f>SUM(E8:E25)</f>
        <v>5200</v>
      </c>
    </row>
    <row r="27" spans="1:5" ht="14.25" x14ac:dyDescent="0.2">
      <c r="A27" s="23"/>
      <c r="B27" s="21"/>
      <c r="C27" s="21"/>
      <c r="D27" s="21"/>
      <c r="E27" s="22"/>
    </row>
    <row r="28" spans="1:5" ht="14.25" x14ac:dyDescent="0.2">
      <c r="A28" s="23"/>
      <c r="B28" s="21"/>
      <c r="C28" s="21"/>
      <c r="D28" s="21"/>
      <c r="E28" s="22"/>
    </row>
  </sheetData>
  <printOptions headings="1" gridLine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12" sqref="C12"/>
    </sheetView>
  </sheetViews>
  <sheetFormatPr defaultRowHeight="12.75" x14ac:dyDescent="0.2"/>
  <cols>
    <col min="3" max="3" width="43.28515625" customWidth="1"/>
    <col min="4" max="4" width="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361</v>
      </c>
      <c r="D4" s="9"/>
      <c r="E4" s="9"/>
    </row>
    <row r="5" spans="1:5" x14ac:dyDescent="0.2">
      <c r="A5" s="9" t="s">
        <v>362</v>
      </c>
      <c r="B5" s="9"/>
      <c r="C5" s="9" t="s">
        <v>412</v>
      </c>
      <c r="D5" s="9"/>
      <c r="E5" s="9"/>
    </row>
    <row r="6" spans="1:5" x14ac:dyDescent="0.2">
      <c r="A6" s="9"/>
      <c r="B6" s="9"/>
      <c r="C6" s="9"/>
      <c r="D6" s="9"/>
      <c r="E6" s="9"/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1">
        <v>510.03</v>
      </c>
      <c r="B9" s="21"/>
      <c r="C9" s="21" t="s">
        <v>577</v>
      </c>
      <c r="D9" s="21"/>
      <c r="E9" s="22">
        <v>5000</v>
      </c>
    </row>
    <row r="10" spans="1:5" ht="14.25" x14ac:dyDescent="0.2">
      <c r="A10" s="21"/>
      <c r="B10" s="21"/>
      <c r="C10" s="21"/>
      <c r="D10" s="21"/>
      <c r="E10" s="22"/>
    </row>
    <row r="11" spans="1:5" ht="14.25" x14ac:dyDescent="0.2">
      <c r="A11" s="21">
        <v>520.09</v>
      </c>
      <c r="B11" s="21"/>
      <c r="C11" s="21" t="s">
        <v>1019</v>
      </c>
      <c r="D11" s="21"/>
      <c r="E11" s="22">
        <v>800</v>
      </c>
    </row>
    <row r="12" spans="1:5" ht="14.25" x14ac:dyDescent="0.2">
      <c r="A12" s="21"/>
      <c r="B12" s="21"/>
      <c r="C12" s="21"/>
      <c r="D12" s="21"/>
      <c r="E12" s="22"/>
    </row>
    <row r="13" spans="1:5" ht="14.25" x14ac:dyDescent="0.2">
      <c r="A13" s="21">
        <v>530.03</v>
      </c>
      <c r="B13" s="21"/>
      <c r="C13" s="21" t="s">
        <v>470</v>
      </c>
      <c r="D13" s="21"/>
      <c r="E13" s="22">
        <v>2000</v>
      </c>
    </row>
    <row r="14" spans="1:5" ht="14.25" x14ac:dyDescent="0.2">
      <c r="A14" s="21"/>
      <c r="B14" s="21"/>
      <c r="C14" s="21"/>
      <c r="D14" s="21"/>
      <c r="E14" s="22"/>
    </row>
    <row r="15" spans="1:5" ht="14.25" x14ac:dyDescent="0.2">
      <c r="A15" s="21">
        <v>540.07000000000005</v>
      </c>
      <c r="B15" s="21"/>
      <c r="C15" s="21" t="s">
        <v>471</v>
      </c>
      <c r="D15" s="21"/>
      <c r="E15" s="22">
        <v>5000</v>
      </c>
    </row>
    <row r="16" spans="1:5" ht="14.25" x14ac:dyDescent="0.2">
      <c r="A16" s="21"/>
      <c r="B16" s="21"/>
      <c r="C16" s="21"/>
      <c r="D16" s="21"/>
      <c r="E16" s="22"/>
    </row>
    <row r="17" spans="1:5" ht="14.25" x14ac:dyDescent="0.2">
      <c r="A17" s="21">
        <v>540.09</v>
      </c>
      <c r="B17" s="21"/>
      <c r="C17" s="21" t="s">
        <v>472</v>
      </c>
      <c r="D17" s="21"/>
      <c r="E17" s="22">
        <v>25000</v>
      </c>
    </row>
    <row r="18" spans="1:5" ht="14.25" x14ac:dyDescent="0.2">
      <c r="A18" s="21"/>
      <c r="B18" s="21"/>
      <c r="C18" s="21"/>
      <c r="D18" s="21"/>
      <c r="E18" s="22"/>
    </row>
    <row r="19" spans="1:5" ht="14.25" x14ac:dyDescent="0.2">
      <c r="A19" s="21"/>
      <c r="B19" s="21"/>
      <c r="C19" s="21"/>
      <c r="D19" s="21"/>
      <c r="E19" s="22"/>
    </row>
    <row r="20" spans="1:5" ht="14.25" x14ac:dyDescent="0.2">
      <c r="A20" s="21"/>
      <c r="B20" s="21"/>
      <c r="C20" s="21"/>
      <c r="D20" s="21"/>
      <c r="E20" s="22"/>
    </row>
    <row r="21" spans="1:5" ht="14.25" x14ac:dyDescent="0.2">
      <c r="A21" s="21"/>
      <c r="B21" s="21"/>
      <c r="C21" s="21"/>
      <c r="D21" s="21"/>
      <c r="E21" s="22"/>
    </row>
  </sheetData>
  <printOptions headings="1" gridLine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zoomScaleNormal="100" workbookViewId="0">
      <selection activeCell="E16" sqref="E16"/>
    </sheetView>
  </sheetViews>
  <sheetFormatPr defaultRowHeight="12.75" x14ac:dyDescent="0.2"/>
  <cols>
    <col min="3" max="3" width="39.42578125" customWidth="1"/>
    <col min="4" max="4" width="3.42578125" customWidth="1"/>
  </cols>
  <sheetData>
    <row r="3" spans="1:5" x14ac:dyDescent="0.2">
      <c r="A3" s="9" t="s">
        <v>359</v>
      </c>
      <c r="B3" s="9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 t="s">
        <v>360</v>
      </c>
      <c r="B5" s="9"/>
      <c r="C5" s="9" t="s">
        <v>361</v>
      </c>
      <c r="D5" s="9"/>
    </row>
    <row r="6" spans="1:5" x14ac:dyDescent="0.2">
      <c r="A6" s="9" t="s">
        <v>362</v>
      </c>
      <c r="B6" s="9"/>
      <c r="C6" s="9" t="s">
        <v>413</v>
      </c>
      <c r="D6" s="9"/>
      <c r="E6" s="26" t="s">
        <v>847</v>
      </c>
    </row>
    <row r="7" spans="1:5" x14ac:dyDescent="0.2">
      <c r="A7" s="9"/>
      <c r="B7" s="9"/>
      <c r="C7" s="9"/>
      <c r="D7" s="9"/>
      <c r="E7" s="62" t="s">
        <v>859</v>
      </c>
    </row>
    <row r="8" spans="1:5" x14ac:dyDescent="0.2">
      <c r="A8" s="10" t="s">
        <v>364</v>
      </c>
      <c r="B8" s="9"/>
      <c r="C8" s="11" t="s">
        <v>365</v>
      </c>
      <c r="D8" s="9"/>
      <c r="E8" s="11" t="s">
        <v>366</v>
      </c>
    </row>
    <row r="10" spans="1:5" ht="14.25" x14ac:dyDescent="0.2">
      <c r="A10" s="21">
        <v>520.08000000000004</v>
      </c>
      <c r="B10" s="21"/>
      <c r="C10" s="21" t="s">
        <v>200</v>
      </c>
      <c r="D10" s="21"/>
      <c r="E10" s="22">
        <v>600</v>
      </c>
    </row>
    <row r="11" spans="1:5" ht="14.25" x14ac:dyDescent="0.2">
      <c r="A11" s="21"/>
      <c r="B11" s="21"/>
      <c r="C11" s="21"/>
      <c r="D11" s="21"/>
      <c r="E11" s="22"/>
    </row>
    <row r="12" spans="1:5" ht="14.25" x14ac:dyDescent="0.2">
      <c r="A12" s="21">
        <v>530.01</v>
      </c>
      <c r="B12" s="21"/>
      <c r="C12" s="21" t="s">
        <v>201</v>
      </c>
      <c r="D12" s="21"/>
      <c r="E12" s="22">
        <v>4500</v>
      </c>
    </row>
    <row r="13" spans="1:5" ht="14.25" x14ac:dyDescent="0.2">
      <c r="A13" s="21"/>
      <c r="B13" s="21"/>
      <c r="C13" s="21"/>
      <c r="D13" s="21"/>
      <c r="E13" s="22"/>
    </row>
    <row r="14" spans="1:5" ht="14.25" x14ac:dyDescent="0.2">
      <c r="A14" s="21">
        <v>540.01</v>
      </c>
      <c r="B14" s="21"/>
      <c r="C14" s="21" t="s">
        <v>473</v>
      </c>
      <c r="D14" s="21"/>
      <c r="E14" s="22">
        <v>1000</v>
      </c>
    </row>
    <row r="15" spans="1:5" ht="14.25" x14ac:dyDescent="0.2">
      <c r="A15" s="21"/>
      <c r="B15" s="21"/>
      <c r="C15" s="21"/>
      <c r="D15" s="21"/>
      <c r="E15" s="22"/>
    </row>
    <row r="16" spans="1:5" ht="14.25" x14ac:dyDescent="0.2">
      <c r="A16" s="21">
        <v>550.09</v>
      </c>
      <c r="B16" s="21"/>
      <c r="C16" s="21" t="s">
        <v>474</v>
      </c>
      <c r="D16" s="21"/>
      <c r="E16" s="22">
        <v>1000</v>
      </c>
    </row>
    <row r="17" spans="1:5" ht="14.25" x14ac:dyDescent="0.2">
      <c r="A17" s="21"/>
      <c r="B17" s="21"/>
      <c r="C17" s="21"/>
      <c r="D17" s="21"/>
      <c r="E17" s="22"/>
    </row>
    <row r="18" spans="1:5" ht="14.25" x14ac:dyDescent="0.2">
      <c r="A18" s="21"/>
      <c r="B18" s="21"/>
      <c r="C18" s="21"/>
      <c r="D18" s="21"/>
      <c r="E18" s="22"/>
    </row>
    <row r="19" spans="1:5" ht="14.25" x14ac:dyDescent="0.2">
      <c r="A19" s="21"/>
      <c r="B19" s="21"/>
      <c r="C19" s="21"/>
      <c r="D19" s="21"/>
      <c r="E19" s="22"/>
    </row>
    <row r="20" spans="1:5" ht="14.25" x14ac:dyDescent="0.2">
      <c r="A20" s="21"/>
      <c r="B20" s="21"/>
      <c r="C20" s="21"/>
      <c r="D20" s="21"/>
      <c r="E20" s="22"/>
    </row>
    <row r="21" spans="1:5" ht="14.25" x14ac:dyDescent="0.2">
      <c r="A21" s="21"/>
      <c r="B21" s="21"/>
      <c r="C21" s="21"/>
      <c r="D21" s="21"/>
      <c r="E21" s="22"/>
    </row>
    <row r="22" spans="1:5" ht="14.25" x14ac:dyDescent="0.2">
      <c r="A22" s="21"/>
      <c r="B22" s="21"/>
      <c r="C22" s="21"/>
      <c r="D22" s="21"/>
      <c r="E22" s="22"/>
    </row>
    <row r="23" spans="1:5" ht="14.25" x14ac:dyDescent="0.2">
      <c r="A23" s="21"/>
      <c r="B23" s="21"/>
      <c r="C23" s="21"/>
      <c r="D23" s="21"/>
      <c r="E23" s="22"/>
    </row>
    <row r="24" spans="1:5" ht="14.25" x14ac:dyDescent="0.2">
      <c r="A24" s="21"/>
      <c r="B24" s="21"/>
      <c r="C24" s="21"/>
      <c r="D24" s="21"/>
      <c r="E24" s="22"/>
    </row>
  </sheetData>
  <printOptions headings="1" gridLines="1"/>
  <pageMargins left="0.7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zoomScaleNormal="100" workbookViewId="0">
      <selection activeCell="I12" sqref="I12"/>
    </sheetView>
  </sheetViews>
  <sheetFormatPr defaultRowHeight="12.75" x14ac:dyDescent="0.2"/>
  <cols>
    <col min="5" max="6" width="0" hidden="1" customWidth="1"/>
    <col min="11" max="11" width="10.140625" bestFit="1" customWidth="1"/>
  </cols>
  <sheetData>
    <row r="2" spans="1:11" x14ac:dyDescent="0.2">
      <c r="A2" t="s">
        <v>396</v>
      </c>
    </row>
    <row r="4" spans="1:11" x14ac:dyDescent="0.2">
      <c r="A4" t="s">
        <v>360</v>
      </c>
      <c r="B4" t="s">
        <v>361</v>
      </c>
    </row>
    <row r="5" spans="1:11" x14ac:dyDescent="0.2">
      <c r="A5" t="s">
        <v>362</v>
      </c>
      <c r="B5" t="s">
        <v>414</v>
      </c>
      <c r="K5" s="26" t="s">
        <v>847</v>
      </c>
    </row>
    <row r="6" spans="1:11" x14ac:dyDescent="0.2">
      <c r="E6" s="27" t="s">
        <v>407</v>
      </c>
      <c r="G6" s="27" t="s">
        <v>849</v>
      </c>
      <c r="H6" s="27"/>
      <c r="I6" s="27" t="s">
        <v>969</v>
      </c>
      <c r="K6" s="62" t="s">
        <v>859</v>
      </c>
    </row>
    <row r="7" spans="1:11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</row>
    <row r="9" spans="1:11" x14ac:dyDescent="0.2">
      <c r="A9" t="s">
        <v>454</v>
      </c>
      <c r="E9" s="19">
        <v>3061</v>
      </c>
      <c r="F9" s="19"/>
      <c r="G9" s="19">
        <v>3263.8666666666663</v>
      </c>
      <c r="H9" s="19"/>
      <c r="I9" s="19">
        <f>(2080*19.86)/12</f>
        <v>3442.3999999999996</v>
      </c>
      <c r="J9" s="19"/>
      <c r="K9" s="40">
        <f>SUM(I9*12)</f>
        <v>41308.799999999996</v>
      </c>
    </row>
    <row r="10" spans="1:11" x14ac:dyDescent="0.2">
      <c r="E10" s="19"/>
      <c r="F10" s="19"/>
      <c r="G10" s="19"/>
      <c r="H10" s="19"/>
      <c r="I10" s="19"/>
      <c r="J10" s="19"/>
      <c r="K10" s="40"/>
    </row>
    <row r="11" spans="1:11" x14ac:dyDescent="0.2">
      <c r="A11" t="s">
        <v>455</v>
      </c>
      <c r="E11" s="19">
        <v>2548</v>
      </c>
      <c r="F11" s="19"/>
      <c r="G11" s="19">
        <v>2253.3333333333335</v>
      </c>
      <c r="H11" s="19"/>
      <c r="I11" s="19">
        <f>(2080*16)/12</f>
        <v>2773.3333333333335</v>
      </c>
      <c r="J11" s="19"/>
      <c r="K11" s="40">
        <f>SUM(I11*12)</f>
        <v>33280</v>
      </c>
    </row>
    <row r="12" spans="1:11" x14ac:dyDescent="0.2">
      <c r="E12" s="19"/>
      <c r="F12" s="19"/>
      <c r="G12" s="19"/>
      <c r="H12" s="19"/>
      <c r="I12" s="19"/>
      <c r="J12" s="19"/>
      <c r="K12" s="40"/>
    </row>
    <row r="15" spans="1:11" x14ac:dyDescent="0.2">
      <c r="E15" s="19"/>
      <c r="F15" s="19"/>
      <c r="G15" s="19"/>
      <c r="H15" s="19"/>
      <c r="I15" s="19"/>
      <c r="J15" s="19"/>
      <c r="K15" s="19"/>
    </row>
    <row r="16" spans="1:11" x14ac:dyDescent="0.2">
      <c r="A16" t="s">
        <v>426</v>
      </c>
      <c r="E16" s="19"/>
      <c r="F16" s="19"/>
      <c r="G16" s="19"/>
      <c r="H16" s="19"/>
      <c r="I16" s="19"/>
      <c r="J16" s="19"/>
      <c r="K16" s="41">
        <v>7000</v>
      </c>
    </row>
    <row r="17" spans="1:11" x14ac:dyDescent="0.2">
      <c r="E17" s="19"/>
      <c r="F17" s="19"/>
      <c r="G17" s="19"/>
      <c r="H17" s="19"/>
      <c r="I17" s="19"/>
      <c r="J17" s="19"/>
      <c r="K17" s="19"/>
    </row>
    <row r="18" spans="1:11" x14ac:dyDescent="0.2">
      <c r="A18" t="s">
        <v>403</v>
      </c>
      <c r="E18" s="19"/>
      <c r="F18" s="19"/>
      <c r="G18" s="19"/>
      <c r="H18" s="19"/>
      <c r="I18" s="19"/>
      <c r="J18" s="19"/>
      <c r="K18" s="19">
        <f>SUM(K9:K17)</f>
        <v>81588.799999999988</v>
      </c>
    </row>
    <row r="19" spans="1:11" x14ac:dyDescent="0.2">
      <c r="E19" s="19"/>
      <c r="F19" s="19"/>
      <c r="G19" s="19"/>
      <c r="H19" s="19"/>
      <c r="I19" s="19"/>
      <c r="J19" s="19"/>
      <c r="K19" s="19"/>
    </row>
    <row r="20" spans="1:11" x14ac:dyDescent="0.2">
      <c r="E20" s="19"/>
      <c r="F20" s="19"/>
      <c r="G20" s="19"/>
      <c r="H20" s="19"/>
      <c r="I20" s="19"/>
      <c r="J20" s="19"/>
      <c r="K20" s="19"/>
    </row>
    <row r="21" spans="1:11" x14ac:dyDescent="0.2">
      <c r="E21" s="19"/>
      <c r="F21" s="19"/>
      <c r="G21" s="19"/>
      <c r="H21" s="19"/>
      <c r="I21" s="19"/>
      <c r="J21" s="19"/>
      <c r="K21" s="19"/>
    </row>
    <row r="22" spans="1:11" x14ac:dyDescent="0.2">
      <c r="A22" t="s">
        <v>871</v>
      </c>
      <c r="E22" s="19"/>
      <c r="F22" s="19"/>
      <c r="G22" s="19">
        <v>2253.3333333333335</v>
      </c>
      <c r="H22" s="19"/>
      <c r="I22" s="19">
        <f>(1040*14)*2/12</f>
        <v>2426.6666666666665</v>
      </c>
      <c r="J22" s="19"/>
      <c r="K22" s="40">
        <f>SUM(I22*12)</f>
        <v>29120</v>
      </c>
    </row>
    <row r="23" spans="1:11" x14ac:dyDescent="0.2">
      <c r="A23" t="s">
        <v>872</v>
      </c>
      <c r="E23" s="19"/>
      <c r="F23" s="19"/>
      <c r="G23" s="19"/>
      <c r="H23" s="19"/>
      <c r="I23" s="19"/>
      <c r="J23" s="19"/>
      <c r="K23" s="19"/>
    </row>
    <row r="24" spans="1:11" x14ac:dyDescent="0.2">
      <c r="E24" s="19"/>
      <c r="F24" s="19"/>
      <c r="G24" s="19"/>
      <c r="H24" s="19"/>
      <c r="I24" s="19"/>
      <c r="J24" s="19"/>
      <c r="K24" s="19"/>
    </row>
    <row r="25" spans="1:11" x14ac:dyDescent="0.2">
      <c r="E25" s="19"/>
      <c r="F25" s="19"/>
      <c r="G25" s="19"/>
      <c r="H25" s="19"/>
      <c r="I25" s="19"/>
      <c r="J25" s="19"/>
      <c r="K25" s="19"/>
    </row>
    <row r="26" spans="1:11" x14ac:dyDescent="0.2">
      <c r="E26" s="19"/>
      <c r="F26" s="19"/>
      <c r="G26" s="19"/>
      <c r="H26" s="19"/>
      <c r="I26" s="19"/>
      <c r="J26" s="19"/>
      <c r="K26" s="19"/>
    </row>
    <row r="27" spans="1:11" x14ac:dyDescent="0.2">
      <c r="E27" s="19"/>
      <c r="F27" s="19"/>
      <c r="G27" s="19"/>
      <c r="H27" s="19"/>
      <c r="I27" s="19"/>
      <c r="J27" s="19"/>
      <c r="K27" s="19"/>
    </row>
  </sheetData>
  <pageMargins left="0.7" right="0.7" top="0.75" bottom="0.75" header="0.3" footer="0.3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opLeftCell="A16" zoomScaleNormal="100" workbookViewId="0">
      <selection activeCell="E5" sqref="E5:E6"/>
    </sheetView>
  </sheetViews>
  <sheetFormatPr defaultRowHeight="12.75" x14ac:dyDescent="0.2"/>
  <cols>
    <col min="3" max="3" width="50.28515625" customWidth="1"/>
    <col min="4" max="4" width="3.140625" customWidth="1"/>
    <col min="5" max="5" width="11.4257812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361</v>
      </c>
      <c r="D4" s="9"/>
      <c r="E4" s="9"/>
    </row>
    <row r="5" spans="1:5" x14ac:dyDescent="0.2">
      <c r="A5" s="9" t="s">
        <v>362</v>
      </c>
      <c r="B5" s="9"/>
      <c r="C5" s="9" t="s">
        <v>414</v>
      </c>
      <c r="D5" s="9"/>
      <c r="E5" s="26" t="s">
        <v>847</v>
      </c>
    </row>
    <row r="6" spans="1:5" x14ac:dyDescent="0.2">
      <c r="A6" s="9"/>
      <c r="B6" s="9"/>
      <c r="C6" s="9"/>
      <c r="D6" s="9"/>
      <c r="E6" s="62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3">
        <v>510.05</v>
      </c>
      <c r="B9" s="21"/>
      <c r="C9" s="21" t="s">
        <v>756</v>
      </c>
      <c r="D9" s="21"/>
      <c r="E9" s="22">
        <v>15856</v>
      </c>
    </row>
    <row r="10" spans="1:5" ht="14.25" x14ac:dyDescent="0.2">
      <c r="A10" s="23"/>
      <c r="B10" s="21"/>
      <c r="C10" s="21" t="s">
        <v>487</v>
      </c>
      <c r="D10" s="21"/>
      <c r="E10" s="22">
        <v>576</v>
      </c>
    </row>
    <row r="11" spans="1:5" ht="14.25" x14ac:dyDescent="0.2">
      <c r="A11" s="23"/>
      <c r="B11" s="21"/>
      <c r="C11" s="21" t="s">
        <v>525</v>
      </c>
      <c r="D11" s="21"/>
      <c r="E11" s="22">
        <f>(355)*1.015</f>
        <v>360.32499999999999</v>
      </c>
    </row>
    <row r="12" spans="1:5" ht="14.25" x14ac:dyDescent="0.2">
      <c r="A12" s="23"/>
      <c r="B12" s="21"/>
      <c r="C12" s="21" t="s">
        <v>488</v>
      </c>
      <c r="D12" s="21"/>
      <c r="E12" s="22">
        <v>72</v>
      </c>
    </row>
    <row r="13" spans="1:5" ht="14.25" x14ac:dyDescent="0.2">
      <c r="A13" s="23"/>
      <c r="B13" s="21"/>
      <c r="C13" s="21" t="s">
        <v>489</v>
      </c>
      <c r="D13" s="21"/>
      <c r="E13" s="24">
        <v>110</v>
      </c>
    </row>
    <row r="14" spans="1:5" ht="14.25" x14ac:dyDescent="0.2">
      <c r="A14" s="23"/>
      <c r="B14" s="21"/>
      <c r="C14" s="21" t="s">
        <v>369</v>
      </c>
      <c r="D14" s="21"/>
      <c r="E14" s="22">
        <f>SUM(E9:E13)</f>
        <v>16974.325000000001</v>
      </c>
    </row>
    <row r="15" spans="1:5" ht="14.25" x14ac:dyDescent="0.2">
      <c r="A15" s="23"/>
      <c r="B15" s="21"/>
      <c r="C15" s="21"/>
      <c r="D15" s="21"/>
      <c r="E15" s="22"/>
    </row>
    <row r="16" spans="1:5" ht="14.25" x14ac:dyDescent="0.2">
      <c r="A16" s="23">
        <v>510.06</v>
      </c>
      <c r="B16" s="21"/>
      <c r="C16" s="21" t="s">
        <v>373</v>
      </c>
      <c r="D16" s="21"/>
      <c r="E16" s="22">
        <f>+'Personnel Sched-Park'!K18*0.0765+'Personnel Sched-Park'!K22*0.0765</f>
        <v>8469.2231999999985</v>
      </c>
    </row>
    <row r="17" spans="1:5" ht="14.25" x14ac:dyDescent="0.2">
      <c r="A17" s="23"/>
      <c r="B17" s="21"/>
      <c r="C17" s="21"/>
      <c r="D17" s="21"/>
      <c r="E17" s="22"/>
    </row>
    <row r="18" spans="1:5" ht="14.25" x14ac:dyDescent="0.2">
      <c r="A18" s="23">
        <v>510.07</v>
      </c>
      <c r="B18" s="21"/>
      <c r="C18" s="21" t="s">
        <v>860</v>
      </c>
      <c r="D18" s="21"/>
      <c r="E18" s="22">
        <f>+'Personnel Sched-Park'!K18*0.0502</f>
        <v>4095.7577599999995</v>
      </c>
    </row>
    <row r="19" spans="1:5" ht="14.25" x14ac:dyDescent="0.2">
      <c r="A19" s="23"/>
      <c r="B19" s="21"/>
      <c r="C19" s="21"/>
      <c r="D19" s="21"/>
      <c r="E19" s="22"/>
    </row>
    <row r="20" spans="1:5" ht="14.25" x14ac:dyDescent="0.2">
      <c r="A20" s="23">
        <v>510.08</v>
      </c>
      <c r="B20" s="21"/>
      <c r="C20" s="21" t="s">
        <v>757</v>
      </c>
      <c r="D20" s="21"/>
      <c r="E20" s="22">
        <f>(1910)*1.015</f>
        <v>1938.6499999999999</v>
      </c>
    </row>
    <row r="21" spans="1:5" ht="14.25" x14ac:dyDescent="0.2">
      <c r="A21" s="23"/>
      <c r="B21" s="21"/>
      <c r="C21" s="21"/>
      <c r="D21" s="21"/>
      <c r="E21" s="22"/>
    </row>
    <row r="22" spans="1:5" ht="14.25" x14ac:dyDescent="0.2">
      <c r="A22" s="23">
        <v>510.09</v>
      </c>
      <c r="B22" s="21"/>
      <c r="C22" s="21" t="s">
        <v>691</v>
      </c>
      <c r="D22" s="21"/>
      <c r="E22" s="22">
        <v>697</v>
      </c>
    </row>
    <row r="23" spans="1:5" ht="14.25" x14ac:dyDescent="0.2">
      <c r="A23" s="23"/>
      <c r="B23" s="21"/>
      <c r="C23" s="21"/>
      <c r="D23" s="21"/>
      <c r="E23" s="22"/>
    </row>
    <row r="24" spans="1:5" ht="14.25" x14ac:dyDescent="0.2">
      <c r="A24" s="23">
        <v>510.12</v>
      </c>
      <c r="B24" s="21"/>
      <c r="C24" s="21" t="s">
        <v>692</v>
      </c>
      <c r="D24" s="21"/>
      <c r="E24" s="22">
        <v>4200</v>
      </c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>
        <v>520.04</v>
      </c>
      <c r="B26" s="21"/>
      <c r="C26" s="21" t="s">
        <v>197</v>
      </c>
      <c r="D26" s="21"/>
      <c r="E26" s="22">
        <v>1700</v>
      </c>
    </row>
    <row r="27" spans="1:5" ht="14.25" x14ac:dyDescent="0.2">
      <c r="A27" s="23"/>
      <c r="B27" s="21"/>
      <c r="C27" s="21" t="s">
        <v>583</v>
      </c>
      <c r="D27" s="21"/>
      <c r="E27" s="24">
        <v>200</v>
      </c>
    </row>
    <row r="28" spans="1:5" ht="14.25" x14ac:dyDescent="0.2">
      <c r="A28" s="23"/>
      <c r="B28" s="21"/>
      <c r="C28" s="21" t="s">
        <v>13</v>
      </c>
      <c r="D28" s="21"/>
      <c r="E28" s="22">
        <f>SUM(E26:E27)</f>
        <v>1900</v>
      </c>
    </row>
    <row r="29" spans="1:5" ht="14.25" x14ac:dyDescent="0.2">
      <c r="A29" s="23"/>
      <c r="B29" s="21"/>
      <c r="C29" s="21"/>
      <c r="D29" s="21"/>
      <c r="E29" s="22"/>
    </row>
    <row r="30" spans="1:5" ht="14.25" x14ac:dyDescent="0.2">
      <c r="A30" s="23">
        <v>520.09</v>
      </c>
      <c r="B30" s="21"/>
      <c r="C30" s="21" t="s">
        <v>475</v>
      </c>
      <c r="D30" s="21"/>
      <c r="E30" s="22">
        <v>1300</v>
      </c>
    </row>
    <row r="31" spans="1:5" ht="14.25" x14ac:dyDescent="0.2">
      <c r="A31" s="23"/>
      <c r="B31" s="21"/>
      <c r="C31" s="21"/>
      <c r="D31" s="21"/>
      <c r="E31" s="22"/>
    </row>
    <row r="32" spans="1:5" ht="14.25" x14ac:dyDescent="0.2">
      <c r="A32" s="23">
        <v>520.11</v>
      </c>
      <c r="B32" s="21"/>
      <c r="C32" s="21" t="s">
        <v>476</v>
      </c>
      <c r="D32" s="21"/>
      <c r="E32" s="22">
        <v>1000</v>
      </c>
    </row>
    <row r="33" spans="1:5" ht="14.25" x14ac:dyDescent="0.2">
      <c r="A33" s="23"/>
      <c r="B33" s="21"/>
      <c r="C33" s="21"/>
      <c r="D33" s="21"/>
      <c r="E33" s="22"/>
    </row>
    <row r="34" spans="1:5" ht="14.25" x14ac:dyDescent="0.2">
      <c r="A34" s="23">
        <v>540.03</v>
      </c>
      <c r="B34" s="21"/>
      <c r="C34" s="21" t="s">
        <v>477</v>
      </c>
      <c r="D34" s="21"/>
      <c r="E34" s="22">
        <v>500</v>
      </c>
    </row>
    <row r="35" spans="1:5" ht="14.25" x14ac:dyDescent="0.2">
      <c r="A35" s="23"/>
      <c r="B35" s="21"/>
      <c r="C35" s="21"/>
      <c r="D35" s="21"/>
      <c r="E35" s="22"/>
    </row>
    <row r="36" spans="1:5" ht="14.25" x14ac:dyDescent="0.2">
      <c r="A36" s="23">
        <v>580.01</v>
      </c>
      <c r="B36" s="21"/>
      <c r="C36" s="21" t="s">
        <v>582</v>
      </c>
      <c r="D36" s="21"/>
      <c r="E36" s="22">
        <v>8000</v>
      </c>
    </row>
    <row r="37" spans="1:5" ht="14.25" x14ac:dyDescent="0.2">
      <c r="A37" s="23"/>
      <c r="B37" s="21"/>
      <c r="C37" s="21"/>
      <c r="D37" s="21"/>
      <c r="E37" s="22"/>
    </row>
    <row r="38" spans="1:5" ht="14.25" x14ac:dyDescent="0.2">
      <c r="A38" s="23">
        <v>580.20000000000005</v>
      </c>
      <c r="B38" s="21"/>
      <c r="C38" s="21" t="s">
        <v>1037</v>
      </c>
      <c r="D38" s="21"/>
      <c r="E38" s="22">
        <v>0</v>
      </c>
    </row>
    <row r="39" spans="1:5" ht="14.25" x14ac:dyDescent="0.2">
      <c r="A39" s="23"/>
      <c r="B39" s="21"/>
      <c r="C39" s="21"/>
      <c r="D39" s="21"/>
      <c r="E39" s="22"/>
    </row>
    <row r="40" spans="1:5" ht="14.25" x14ac:dyDescent="0.2">
      <c r="A40" s="23"/>
      <c r="B40" s="21"/>
      <c r="C40" s="21" t="s">
        <v>13</v>
      </c>
      <c r="D40" s="21"/>
      <c r="E40" s="22">
        <f>SUM(E38:E39)</f>
        <v>0</v>
      </c>
    </row>
    <row r="41" spans="1:5" ht="14.25" x14ac:dyDescent="0.2">
      <c r="A41" s="23"/>
      <c r="B41" s="21"/>
      <c r="C41" s="21"/>
      <c r="D41" s="21"/>
      <c r="E41" s="22"/>
    </row>
    <row r="42" spans="1:5" ht="14.25" x14ac:dyDescent="0.2">
      <c r="A42" s="23"/>
      <c r="B42" s="21"/>
      <c r="C42" s="21"/>
      <c r="D42" s="21"/>
      <c r="E42" s="22"/>
    </row>
    <row r="43" spans="1:5" ht="14.25" x14ac:dyDescent="0.2">
      <c r="A43" s="23"/>
      <c r="B43" s="21"/>
      <c r="C43" s="21"/>
      <c r="D43" s="21"/>
      <c r="E43" s="22"/>
    </row>
    <row r="44" spans="1:5" ht="14.25" x14ac:dyDescent="0.2">
      <c r="A44" s="23"/>
      <c r="B44" s="21"/>
      <c r="C44" s="21"/>
      <c r="D44" s="21"/>
      <c r="E44" s="22"/>
    </row>
  </sheetData>
  <printOptions headings="1" gridLines="1"/>
  <pageMargins left="0.7" right="0.7" top="0.75" bottom="0.75" header="0.3" footer="0.3"/>
  <pageSetup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zoomScaleNormal="100" workbookViewId="0">
      <selection activeCell="L9" sqref="L9"/>
    </sheetView>
  </sheetViews>
  <sheetFormatPr defaultRowHeight="12.75" x14ac:dyDescent="0.2"/>
  <cols>
    <col min="5" max="6" width="0" hidden="1" customWidth="1"/>
    <col min="11" max="11" width="10.140625" bestFit="1" customWidth="1"/>
  </cols>
  <sheetData>
    <row r="2" spans="1:11" x14ac:dyDescent="0.2">
      <c r="A2" t="s">
        <v>396</v>
      </c>
    </row>
    <row r="4" spans="1:11" x14ac:dyDescent="0.2">
      <c r="A4" t="s">
        <v>360</v>
      </c>
      <c r="B4" t="s">
        <v>361</v>
      </c>
    </row>
    <row r="5" spans="1:11" x14ac:dyDescent="0.2">
      <c r="A5" t="s">
        <v>362</v>
      </c>
      <c r="B5" t="s">
        <v>415</v>
      </c>
      <c r="K5" s="26" t="s">
        <v>847</v>
      </c>
    </row>
    <row r="6" spans="1:11" x14ac:dyDescent="0.2">
      <c r="E6" s="27" t="s">
        <v>407</v>
      </c>
      <c r="G6" s="27" t="s">
        <v>713</v>
      </c>
      <c r="H6" s="27"/>
      <c r="I6" s="27" t="s">
        <v>849</v>
      </c>
      <c r="K6" s="62" t="s">
        <v>859</v>
      </c>
    </row>
    <row r="7" spans="1:11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</row>
    <row r="9" spans="1:11" x14ac:dyDescent="0.2">
      <c r="A9" t="s">
        <v>511</v>
      </c>
      <c r="E9" s="19">
        <v>2438</v>
      </c>
      <c r="F9" s="19"/>
      <c r="G9" s="19">
        <f>(1264.8*2.167)*1.015</f>
        <v>2781.9339239999995</v>
      </c>
      <c r="H9" s="19"/>
      <c r="I9" s="19">
        <f>(2080*17.53)/12</f>
        <v>3038.5333333333333</v>
      </c>
      <c r="J9" s="19"/>
      <c r="K9" s="40">
        <f>SUM(I9*12)</f>
        <v>36462.400000000001</v>
      </c>
    </row>
    <row r="10" spans="1:11" x14ac:dyDescent="0.2">
      <c r="E10" s="19"/>
      <c r="F10" s="19"/>
      <c r="G10" s="19"/>
      <c r="H10" s="19"/>
      <c r="I10" s="19"/>
      <c r="J10" s="19"/>
      <c r="K10" s="19"/>
    </row>
    <row r="11" spans="1:11" x14ac:dyDescent="0.2">
      <c r="A11" t="s">
        <v>426</v>
      </c>
      <c r="E11" s="19"/>
      <c r="F11" s="19"/>
      <c r="G11" s="19"/>
      <c r="H11" s="19"/>
      <c r="I11" s="19"/>
      <c r="J11" s="19"/>
      <c r="K11" s="56">
        <v>1300</v>
      </c>
    </row>
    <row r="12" spans="1:11" x14ac:dyDescent="0.2">
      <c r="E12" s="19"/>
      <c r="F12" s="19"/>
      <c r="G12" s="19"/>
      <c r="H12" s="19"/>
      <c r="I12" s="19"/>
      <c r="J12" s="19"/>
      <c r="K12" s="19"/>
    </row>
    <row r="13" spans="1:11" x14ac:dyDescent="0.2">
      <c r="A13" t="s">
        <v>403</v>
      </c>
      <c r="E13" s="19"/>
      <c r="F13" s="19"/>
      <c r="G13" s="19"/>
      <c r="H13" s="19"/>
      <c r="I13" s="19"/>
      <c r="J13" s="19"/>
      <c r="K13" s="19">
        <f>SUM(K9:K12)</f>
        <v>37762.400000000001</v>
      </c>
    </row>
    <row r="14" spans="1:11" x14ac:dyDescent="0.2">
      <c r="E14" s="19"/>
      <c r="F14" s="19"/>
      <c r="G14" s="19"/>
      <c r="H14" s="19"/>
      <c r="I14" s="19"/>
      <c r="J14" s="19"/>
      <c r="K14" s="19"/>
    </row>
    <row r="15" spans="1:11" x14ac:dyDescent="0.2">
      <c r="E15" s="19"/>
      <c r="F15" s="19"/>
      <c r="G15" s="19"/>
      <c r="H15" s="19"/>
      <c r="I15" s="19"/>
      <c r="J15" s="19"/>
      <c r="K15" s="19"/>
    </row>
    <row r="16" spans="1:11" x14ac:dyDescent="0.2">
      <c r="E16" s="19"/>
      <c r="F16" s="19"/>
      <c r="G16" s="19"/>
      <c r="H16" s="19"/>
      <c r="I16" s="19"/>
      <c r="J16" s="19"/>
      <c r="K16" s="19"/>
    </row>
    <row r="17" spans="5:11" x14ac:dyDescent="0.2">
      <c r="E17" s="19"/>
      <c r="F17" s="19"/>
      <c r="G17" s="19"/>
      <c r="H17" s="19"/>
      <c r="I17" s="19"/>
      <c r="J17" s="19"/>
      <c r="K17" s="19"/>
    </row>
    <row r="18" spans="5:11" x14ac:dyDescent="0.2">
      <c r="E18" s="19"/>
      <c r="F18" s="19"/>
      <c r="G18" s="19"/>
      <c r="H18" s="19"/>
      <c r="I18" s="19"/>
      <c r="J18" s="19"/>
      <c r="K18" s="19"/>
    </row>
    <row r="19" spans="5:11" x14ac:dyDescent="0.2">
      <c r="E19" s="19"/>
      <c r="F19" s="19"/>
      <c r="G19" s="19"/>
      <c r="H19" s="19"/>
      <c r="I19" s="19"/>
      <c r="J19" s="19"/>
      <c r="K19" s="19"/>
    </row>
    <row r="20" spans="5:11" x14ac:dyDescent="0.2">
      <c r="E20" s="19"/>
      <c r="F20" s="19"/>
      <c r="G20" s="19"/>
      <c r="H20" s="19"/>
      <c r="I20" s="19"/>
      <c r="J20" s="19"/>
      <c r="K20" s="19"/>
    </row>
    <row r="21" spans="5:11" x14ac:dyDescent="0.2">
      <c r="E21" s="19"/>
      <c r="F21" s="19"/>
      <c r="G21" s="19"/>
      <c r="H21" s="19"/>
      <c r="I21" s="19"/>
      <c r="J21" s="19"/>
      <c r="K21" s="19"/>
    </row>
    <row r="22" spans="5:11" x14ac:dyDescent="0.2">
      <c r="E22" s="19"/>
      <c r="F22" s="19"/>
      <c r="G22" s="19"/>
      <c r="H22" s="19"/>
      <c r="I22" s="19"/>
      <c r="J22" s="19"/>
      <c r="K22" s="19"/>
    </row>
    <row r="23" spans="5:11" x14ac:dyDescent="0.2">
      <c r="E23" s="19"/>
      <c r="F23" s="19"/>
      <c r="G23" s="19"/>
      <c r="H23" s="19"/>
      <c r="I23" s="19"/>
      <c r="J23" s="19"/>
      <c r="K23" s="19"/>
    </row>
  </sheetData>
  <pageMargins left="0.7" right="0.7" top="0.75" bottom="0.75" header="0.3" footer="0.3"/>
  <pageSetup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zoomScaleNormal="100" workbookViewId="0">
      <selection activeCell="G10" sqref="G10"/>
    </sheetView>
  </sheetViews>
  <sheetFormatPr defaultRowHeight="12.75" x14ac:dyDescent="0.2"/>
  <cols>
    <col min="3" max="3" width="49" customWidth="1"/>
    <col min="4" max="4" width="5.140625" customWidth="1"/>
    <col min="5" max="5" width="12.4257812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361</v>
      </c>
      <c r="D4" s="9"/>
      <c r="E4" s="26" t="s">
        <v>847</v>
      </c>
    </row>
    <row r="5" spans="1:5" x14ac:dyDescent="0.2">
      <c r="A5" s="9" t="s">
        <v>362</v>
      </c>
      <c r="B5" s="9"/>
      <c r="C5" s="9" t="s">
        <v>415</v>
      </c>
      <c r="D5" s="9"/>
    </row>
    <row r="6" spans="1:5" x14ac:dyDescent="0.2">
      <c r="A6" s="9"/>
      <c r="B6" s="9"/>
      <c r="C6" s="9"/>
      <c r="D6" s="9"/>
      <c r="E6" s="17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3">
        <v>510.03</v>
      </c>
      <c r="B9" s="21"/>
      <c r="C9" s="21" t="s">
        <v>478</v>
      </c>
      <c r="D9" s="21"/>
      <c r="E9" s="22">
        <v>12000</v>
      </c>
    </row>
    <row r="10" spans="1:5" ht="14.25" x14ac:dyDescent="0.2">
      <c r="A10" s="23"/>
      <c r="B10" s="21"/>
      <c r="C10" s="21" t="s">
        <v>598</v>
      </c>
      <c r="D10" s="21"/>
      <c r="E10" s="24">
        <v>14000</v>
      </c>
    </row>
    <row r="11" spans="1:5" ht="14.25" x14ac:dyDescent="0.2">
      <c r="A11" s="23"/>
      <c r="B11" s="21"/>
      <c r="C11" s="21" t="s">
        <v>13</v>
      </c>
      <c r="D11" s="21"/>
      <c r="E11" s="22">
        <f>SUM(E9:E10)</f>
        <v>26000</v>
      </c>
    </row>
    <row r="12" spans="1:5" ht="14.25" x14ac:dyDescent="0.2">
      <c r="A12" s="23"/>
      <c r="B12" s="21"/>
      <c r="C12" s="21"/>
      <c r="D12" s="21"/>
      <c r="E12" s="22"/>
    </row>
    <row r="13" spans="1:5" ht="14.25" x14ac:dyDescent="0.2">
      <c r="A13" s="23">
        <v>510.05</v>
      </c>
      <c r="B13" s="21"/>
      <c r="C13" s="21" t="s">
        <v>744</v>
      </c>
      <c r="D13" s="21"/>
      <c r="E13" s="22">
        <v>7928</v>
      </c>
    </row>
    <row r="14" spans="1:5" ht="14.25" x14ac:dyDescent="0.2">
      <c r="A14" s="23"/>
      <c r="B14" s="21"/>
      <c r="C14" s="21" t="s">
        <v>435</v>
      </c>
      <c r="D14" s="21"/>
      <c r="E14" s="22">
        <v>288</v>
      </c>
    </row>
    <row r="15" spans="1:5" ht="14.25" x14ac:dyDescent="0.2">
      <c r="A15" s="23"/>
      <c r="B15" s="21"/>
      <c r="C15" s="21" t="s">
        <v>525</v>
      </c>
      <c r="D15" s="21"/>
      <c r="E15" s="22">
        <f>SUM('Personnel Sched-Muni Court'!K13*0.00515)</f>
        <v>194.47636</v>
      </c>
    </row>
    <row r="16" spans="1:5" ht="14.25" x14ac:dyDescent="0.2">
      <c r="A16" s="23"/>
      <c r="B16" s="21"/>
      <c r="C16" s="21" t="s">
        <v>436</v>
      </c>
      <c r="D16" s="21"/>
      <c r="E16" s="22">
        <v>36</v>
      </c>
    </row>
    <row r="17" spans="1:5" ht="14.25" x14ac:dyDescent="0.2">
      <c r="A17" s="23"/>
      <c r="B17" s="21"/>
      <c r="C17" s="21" t="s">
        <v>479</v>
      </c>
      <c r="D17" s="21"/>
      <c r="E17" s="24">
        <v>55</v>
      </c>
    </row>
    <row r="18" spans="1:5" ht="14.25" x14ac:dyDescent="0.2">
      <c r="A18" s="23"/>
      <c r="B18" s="21"/>
      <c r="C18" s="21" t="s">
        <v>13</v>
      </c>
      <c r="D18" s="21"/>
      <c r="E18" s="22">
        <f>SUM(E13:E17)</f>
        <v>8501.4763600000006</v>
      </c>
    </row>
    <row r="19" spans="1:5" ht="14.25" x14ac:dyDescent="0.2">
      <c r="A19" s="23"/>
      <c r="B19" s="21"/>
      <c r="C19" s="21"/>
      <c r="D19" s="21"/>
      <c r="E19" s="22"/>
    </row>
    <row r="20" spans="1:5" ht="14.25" x14ac:dyDescent="0.2">
      <c r="A20" s="23">
        <v>510.06</v>
      </c>
      <c r="B20" s="21"/>
      <c r="C20" s="21" t="s">
        <v>373</v>
      </c>
      <c r="D20" s="21"/>
      <c r="E20" s="22">
        <f>+'Personnel Sched-Muni Court'!K13*0.0765</f>
        <v>2888.8236000000002</v>
      </c>
    </row>
    <row r="21" spans="1:5" ht="14.25" x14ac:dyDescent="0.2">
      <c r="A21" s="23"/>
      <c r="B21" s="21"/>
      <c r="C21" s="21"/>
      <c r="D21" s="21"/>
      <c r="E21" s="22"/>
    </row>
    <row r="22" spans="1:5" ht="14.25" x14ac:dyDescent="0.2">
      <c r="A22" s="23">
        <v>510.07</v>
      </c>
      <c r="B22" s="21"/>
      <c r="C22" s="21" t="s">
        <v>864</v>
      </c>
      <c r="D22" s="21"/>
      <c r="E22" s="22">
        <f>+'Personnel Sched-Muni Court'!K13*0.0502</f>
        <v>1895.6724800000002</v>
      </c>
    </row>
    <row r="23" spans="1:5" ht="14.25" x14ac:dyDescent="0.2">
      <c r="A23" s="23"/>
      <c r="B23" s="21"/>
      <c r="C23" s="21"/>
      <c r="D23" s="21"/>
      <c r="E23" s="22"/>
    </row>
    <row r="24" spans="1:5" ht="14.25" x14ac:dyDescent="0.2">
      <c r="A24" s="23">
        <v>510.08</v>
      </c>
      <c r="B24" s="21"/>
      <c r="C24" s="21" t="s">
        <v>567</v>
      </c>
      <c r="D24" s="21"/>
      <c r="E24" s="22">
        <f>(90)*1.015</f>
        <v>91.35</v>
      </c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>
        <v>510.09</v>
      </c>
      <c r="B26" s="21"/>
      <c r="C26" s="21" t="s">
        <v>691</v>
      </c>
      <c r="D26" s="21"/>
      <c r="E26" s="22">
        <v>334</v>
      </c>
    </row>
    <row r="27" spans="1:5" ht="14.25" x14ac:dyDescent="0.2">
      <c r="A27" s="23"/>
      <c r="B27" s="21"/>
      <c r="C27" s="21"/>
      <c r="D27" s="21"/>
      <c r="E27" s="22"/>
    </row>
    <row r="28" spans="1:5" ht="14.25" x14ac:dyDescent="0.2">
      <c r="A28" s="23">
        <v>510.12</v>
      </c>
      <c r="B28" s="21"/>
      <c r="C28" s="21" t="s">
        <v>692</v>
      </c>
      <c r="D28" s="21"/>
      <c r="E28" s="22">
        <f>1050+150</f>
        <v>1200</v>
      </c>
    </row>
    <row r="29" spans="1:5" ht="14.25" x14ac:dyDescent="0.2">
      <c r="A29" s="23"/>
      <c r="B29" s="21"/>
      <c r="C29" s="21"/>
      <c r="D29" s="21"/>
      <c r="E29" s="22"/>
    </row>
    <row r="30" spans="1:5" ht="14.25" x14ac:dyDescent="0.2">
      <c r="A30" s="23">
        <v>520.03</v>
      </c>
      <c r="B30" s="21"/>
      <c r="C30" s="21" t="s">
        <v>480</v>
      </c>
      <c r="D30" s="21"/>
      <c r="E30" s="22">
        <v>200</v>
      </c>
    </row>
    <row r="31" spans="1:5" ht="14.25" x14ac:dyDescent="0.2">
      <c r="A31" s="23"/>
      <c r="B31" s="21"/>
      <c r="C31" s="21"/>
      <c r="D31" s="21"/>
      <c r="E31" s="22"/>
    </row>
    <row r="32" spans="1:5" ht="14.25" x14ac:dyDescent="0.2">
      <c r="A32" s="23">
        <v>530.01</v>
      </c>
      <c r="B32" s="21"/>
      <c r="C32" s="21" t="s">
        <v>201</v>
      </c>
      <c r="D32" s="21"/>
      <c r="E32" s="22">
        <v>5400</v>
      </c>
    </row>
    <row r="33" spans="1:5" ht="14.25" x14ac:dyDescent="0.2">
      <c r="A33" s="23"/>
      <c r="B33" s="21"/>
      <c r="C33" s="21" t="s">
        <v>599</v>
      </c>
      <c r="D33" s="21"/>
      <c r="E33" s="24">
        <v>600</v>
      </c>
    </row>
    <row r="34" spans="1:5" ht="14.25" x14ac:dyDescent="0.2">
      <c r="A34" s="23"/>
      <c r="B34" s="21"/>
      <c r="C34" s="21" t="s">
        <v>13</v>
      </c>
      <c r="D34" s="21"/>
      <c r="E34" s="22">
        <f>SUM(E32:E33)</f>
        <v>6000</v>
      </c>
    </row>
    <row r="35" spans="1:5" ht="14.25" x14ac:dyDescent="0.2">
      <c r="A35" s="23"/>
      <c r="B35" s="21"/>
      <c r="C35" s="21"/>
      <c r="D35" s="21"/>
      <c r="E35" s="22"/>
    </row>
    <row r="36" spans="1:5" ht="14.25" x14ac:dyDescent="0.2">
      <c r="A36" s="23">
        <v>530.02</v>
      </c>
      <c r="B36" s="21"/>
      <c r="C36" s="21" t="s">
        <v>533</v>
      </c>
      <c r="D36" s="21"/>
      <c r="E36" s="22">
        <v>1200</v>
      </c>
    </row>
    <row r="37" spans="1:5" ht="14.25" x14ac:dyDescent="0.2">
      <c r="A37" s="23"/>
      <c r="B37" s="21"/>
      <c r="C37" s="21"/>
      <c r="D37" s="21"/>
      <c r="E37" s="22"/>
    </row>
    <row r="38" spans="1:5" ht="14.25" x14ac:dyDescent="0.2">
      <c r="A38" s="23">
        <v>530.03</v>
      </c>
      <c r="B38" s="21"/>
      <c r="C38" s="21" t="s">
        <v>758</v>
      </c>
      <c r="D38" s="21"/>
      <c r="E38" s="22">
        <v>100</v>
      </c>
    </row>
    <row r="39" spans="1:5" ht="14.25" x14ac:dyDescent="0.2">
      <c r="A39" s="23"/>
      <c r="B39" s="21"/>
      <c r="C39" s="21"/>
      <c r="D39" s="21"/>
      <c r="E39" s="22"/>
    </row>
    <row r="40" spans="1:5" ht="14.25" x14ac:dyDescent="0.2">
      <c r="A40" s="23">
        <v>530.07000000000005</v>
      </c>
      <c r="B40" s="21"/>
      <c r="C40" s="21" t="s">
        <v>481</v>
      </c>
      <c r="D40" s="21"/>
      <c r="E40" s="22">
        <v>2700</v>
      </c>
    </row>
    <row r="41" spans="1:5" ht="14.25" x14ac:dyDescent="0.2">
      <c r="A41" s="23"/>
      <c r="B41" s="21"/>
      <c r="C41" s="21"/>
      <c r="D41" s="21"/>
      <c r="E41" s="22"/>
    </row>
    <row r="42" spans="1:5" ht="14.25" x14ac:dyDescent="0.2">
      <c r="A42" s="23">
        <v>530.13</v>
      </c>
      <c r="B42" s="21"/>
      <c r="C42" s="21" t="s">
        <v>584</v>
      </c>
      <c r="D42" s="21"/>
      <c r="E42" s="22">
        <v>25296</v>
      </c>
    </row>
    <row r="43" spans="1:5" ht="14.25" x14ac:dyDescent="0.2">
      <c r="A43" s="23"/>
      <c r="B43" s="21"/>
      <c r="C43" s="21" t="s">
        <v>682</v>
      </c>
      <c r="D43" s="21"/>
      <c r="E43" s="24">
        <f>500*12</f>
        <v>6000</v>
      </c>
    </row>
    <row r="44" spans="1:5" ht="14.25" x14ac:dyDescent="0.2">
      <c r="A44" s="23"/>
      <c r="B44" s="21"/>
      <c r="C44" s="21" t="s">
        <v>13</v>
      </c>
      <c r="D44" s="21"/>
      <c r="E44" s="22">
        <f>SUM(E42:E43)</f>
        <v>31296</v>
      </c>
    </row>
    <row r="45" spans="1:5" ht="14.25" x14ac:dyDescent="0.2">
      <c r="A45" s="23"/>
      <c r="B45" s="21"/>
      <c r="C45" s="21"/>
      <c r="D45" s="21"/>
      <c r="E45" s="22"/>
    </row>
    <row r="46" spans="1:5" ht="14.25" x14ac:dyDescent="0.2">
      <c r="A46" s="23">
        <v>530.17999999999995</v>
      </c>
      <c r="B46" s="21"/>
      <c r="C46" s="21" t="s">
        <v>482</v>
      </c>
      <c r="D46" s="21"/>
      <c r="E46" s="22">
        <f>11500*4</f>
        <v>46000</v>
      </c>
    </row>
    <row r="47" spans="1:5" ht="14.25" x14ac:dyDescent="0.2">
      <c r="A47" s="23"/>
      <c r="B47" s="21"/>
      <c r="C47" s="21" t="s">
        <v>1025</v>
      </c>
      <c r="D47" s="21"/>
      <c r="E47" s="22"/>
    </row>
    <row r="48" spans="1:5" ht="14.25" x14ac:dyDescent="0.2">
      <c r="A48" s="23"/>
      <c r="B48" s="21"/>
      <c r="C48" s="21"/>
      <c r="D48" s="21"/>
      <c r="E48" s="22"/>
    </row>
    <row r="49" spans="1:5" ht="14.25" x14ac:dyDescent="0.2">
      <c r="A49" s="23">
        <v>540.01</v>
      </c>
      <c r="B49" s="21"/>
      <c r="C49" s="21" t="s">
        <v>483</v>
      </c>
      <c r="D49" s="21"/>
      <c r="E49" s="22">
        <v>500</v>
      </c>
    </row>
    <row r="50" spans="1:5" ht="14.25" x14ac:dyDescent="0.2">
      <c r="A50" s="23"/>
      <c r="B50" s="21"/>
      <c r="C50" s="21" t="s">
        <v>381</v>
      </c>
      <c r="D50" s="21"/>
      <c r="E50" s="22">
        <v>500</v>
      </c>
    </row>
    <row r="51" spans="1:5" ht="14.25" x14ac:dyDescent="0.2">
      <c r="A51" s="23"/>
      <c r="B51" s="21"/>
      <c r="C51" s="21" t="s">
        <v>759</v>
      </c>
      <c r="D51" s="21"/>
      <c r="E51" s="24">
        <v>500</v>
      </c>
    </row>
    <row r="52" spans="1:5" ht="14.25" x14ac:dyDescent="0.2">
      <c r="A52" s="23"/>
      <c r="B52" s="21"/>
      <c r="C52" s="21" t="s">
        <v>13</v>
      </c>
      <c r="D52" s="21"/>
      <c r="E52" s="22">
        <f>SUM(E49:E51)</f>
        <v>1500</v>
      </c>
    </row>
    <row r="53" spans="1:5" ht="14.25" x14ac:dyDescent="0.2">
      <c r="A53" s="23"/>
      <c r="B53" s="21"/>
      <c r="C53" s="21"/>
      <c r="D53" s="21"/>
      <c r="E53" s="22"/>
    </row>
    <row r="54" spans="1:5" ht="14.25" x14ac:dyDescent="0.2">
      <c r="A54" s="23">
        <v>560.02</v>
      </c>
      <c r="B54" s="21"/>
      <c r="C54" s="21" t="s">
        <v>602</v>
      </c>
      <c r="D54" s="21"/>
      <c r="E54" s="22">
        <v>1200</v>
      </c>
    </row>
    <row r="55" spans="1:5" ht="14.25" x14ac:dyDescent="0.2">
      <c r="A55" s="23"/>
      <c r="B55" s="21"/>
      <c r="C55" s="21" t="s">
        <v>761</v>
      </c>
      <c r="D55" s="21"/>
      <c r="E55" s="24">
        <v>120</v>
      </c>
    </row>
    <row r="56" spans="1:5" ht="14.25" x14ac:dyDescent="0.2">
      <c r="A56" s="23"/>
      <c r="B56" s="21"/>
      <c r="C56" s="21" t="s">
        <v>13</v>
      </c>
      <c r="D56" s="21"/>
      <c r="E56" s="22">
        <f>SUM(E54:E55)</f>
        <v>1320</v>
      </c>
    </row>
    <row r="57" spans="1:5" ht="14.25" x14ac:dyDescent="0.2">
      <c r="A57" s="23"/>
      <c r="B57" s="21"/>
      <c r="C57" s="21"/>
      <c r="D57" s="21"/>
      <c r="E57" s="22"/>
    </row>
    <row r="58" spans="1:5" ht="14.25" x14ac:dyDescent="0.2">
      <c r="A58" s="23">
        <v>560.1</v>
      </c>
      <c r="B58" s="21"/>
      <c r="C58" s="21" t="s">
        <v>760</v>
      </c>
      <c r="D58" s="21"/>
      <c r="E58" s="22">
        <v>750</v>
      </c>
    </row>
    <row r="59" spans="1:5" ht="14.25" x14ac:dyDescent="0.2">
      <c r="A59" s="23"/>
      <c r="B59" s="21"/>
      <c r="C59" s="21" t="s">
        <v>683</v>
      </c>
      <c r="D59" s="21"/>
      <c r="E59" s="24">
        <v>750</v>
      </c>
    </row>
    <row r="60" spans="1:5" ht="14.25" x14ac:dyDescent="0.2">
      <c r="A60" s="23"/>
      <c r="B60" s="21"/>
      <c r="C60" s="21" t="s">
        <v>13</v>
      </c>
      <c r="D60" s="21"/>
      <c r="E60" s="22">
        <f>SUM(E58:E59)</f>
        <v>1500</v>
      </c>
    </row>
    <row r="61" spans="1:5" ht="14.25" x14ac:dyDescent="0.2">
      <c r="A61" s="23"/>
      <c r="B61" s="21"/>
      <c r="C61" s="21"/>
      <c r="D61" s="21"/>
      <c r="E61" s="22"/>
    </row>
    <row r="62" spans="1:5" ht="14.25" x14ac:dyDescent="0.2">
      <c r="A62" s="28">
        <v>580.01</v>
      </c>
      <c r="C62" s="28" t="s">
        <v>600</v>
      </c>
      <c r="E62" s="29">
        <v>3500</v>
      </c>
    </row>
    <row r="64" spans="1:5" ht="14.25" x14ac:dyDescent="0.2">
      <c r="A64" s="28">
        <v>590.02</v>
      </c>
      <c r="B64" s="28"/>
      <c r="C64" s="21" t="s">
        <v>762</v>
      </c>
      <c r="D64" s="28"/>
      <c r="E64" s="28">
        <v>1200</v>
      </c>
    </row>
    <row r="65" spans="1:5" ht="14.25" x14ac:dyDescent="0.2">
      <c r="A65" s="28"/>
      <c r="B65" s="28"/>
      <c r="C65" s="28"/>
      <c r="D65" s="28"/>
      <c r="E65" s="28"/>
    </row>
    <row r="66" spans="1:5" ht="14.25" x14ac:dyDescent="0.2">
      <c r="A66" s="28"/>
      <c r="B66" s="28"/>
      <c r="C66" s="28"/>
      <c r="D66" s="28"/>
      <c r="E66" s="28"/>
    </row>
    <row r="67" spans="1:5" ht="14.25" x14ac:dyDescent="0.2">
      <c r="A67" s="28"/>
      <c r="B67" s="28"/>
      <c r="C67" s="28"/>
      <c r="D67" s="28"/>
      <c r="E67" s="28"/>
    </row>
    <row r="68" spans="1:5" ht="14.25" x14ac:dyDescent="0.2">
      <c r="A68" s="28"/>
      <c r="B68" s="28"/>
      <c r="C68" s="28"/>
      <c r="D68" s="28"/>
      <c r="E68" s="28"/>
    </row>
    <row r="69" spans="1:5" ht="14.25" x14ac:dyDescent="0.2">
      <c r="A69" s="28"/>
      <c r="B69" s="28"/>
      <c r="C69" s="28"/>
      <c r="D69" s="28"/>
      <c r="E69" s="28"/>
    </row>
    <row r="70" spans="1:5" ht="14.25" x14ac:dyDescent="0.2">
      <c r="A70" s="28"/>
      <c r="B70" s="28"/>
      <c r="C70" s="28"/>
      <c r="D70" s="28"/>
      <c r="E70" s="28"/>
    </row>
    <row r="71" spans="1:5" ht="14.25" x14ac:dyDescent="0.2">
      <c r="A71" s="28"/>
      <c r="B71" s="28"/>
      <c r="C71" s="28"/>
      <c r="D71" s="28"/>
      <c r="E71" s="28"/>
    </row>
  </sheetData>
  <printOptions headings="1" gridLines="1"/>
  <pageMargins left="0.7" right="0.7" top="0.75" bottom="0.75" header="0.3" footer="0.3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zoomScaleNormal="100" workbookViewId="0">
      <selection activeCell="M1" sqref="M1:M1048576"/>
    </sheetView>
  </sheetViews>
  <sheetFormatPr defaultRowHeight="12.75" x14ac:dyDescent="0.2"/>
  <cols>
    <col min="5" max="6" width="0" hidden="1" customWidth="1"/>
    <col min="13" max="13" width="0" hidden="1" customWidth="1"/>
  </cols>
  <sheetData>
    <row r="2" spans="1:13" x14ac:dyDescent="0.2">
      <c r="A2" t="s">
        <v>396</v>
      </c>
    </row>
    <row r="4" spans="1:13" x14ac:dyDescent="0.2">
      <c r="A4" t="s">
        <v>360</v>
      </c>
      <c r="B4" t="s">
        <v>361</v>
      </c>
    </row>
    <row r="5" spans="1:13" x14ac:dyDescent="0.2">
      <c r="A5" t="s">
        <v>362</v>
      </c>
      <c r="B5" s="26" t="s">
        <v>1003</v>
      </c>
      <c r="K5" s="26" t="s">
        <v>847</v>
      </c>
    </row>
    <row r="6" spans="1:13" x14ac:dyDescent="0.2">
      <c r="E6" s="27" t="s">
        <v>407</v>
      </c>
      <c r="G6" s="27" t="s">
        <v>849</v>
      </c>
      <c r="H6" s="27"/>
      <c r="I6" s="26" t="s">
        <v>969</v>
      </c>
      <c r="K6" s="26" t="s">
        <v>859</v>
      </c>
    </row>
    <row r="7" spans="1:13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</row>
    <row r="9" spans="1:13" x14ac:dyDescent="0.2">
      <c r="A9" t="s">
        <v>449</v>
      </c>
      <c r="E9" s="19">
        <v>3165</v>
      </c>
      <c r="F9" s="19"/>
      <c r="G9" s="19">
        <f>((1393.6*26)/12)*1.015</f>
        <v>3064.7586666666666</v>
      </c>
      <c r="H9" s="19"/>
      <c r="I9" s="19">
        <f>(2080*20.03)/12</f>
        <v>3471.8666666666668</v>
      </c>
      <c r="J9" s="19"/>
      <c r="K9" s="79">
        <f>SUM(I9*12)</f>
        <v>41662.400000000001</v>
      </c>
      <c r="M9" s="39">
        <v>54825</v>
      </c>
    </row>
    <row r="10" spans="1:13" x14ac:dyDescent="0.2">
      <c r="M10" s="39"/>
    </row>
    <row r="11" spans="1:13" x14ac:dyDescent="0.2">
      <c r="A11" s="26" t="s">
        <v>1002</v>
      </c>
      <c r="E11" s="19">
        <v>3165</v>
      </c>
      <c r="F11" s="19"/>
      <c r="G11" s="19"/>
      <c r="H11" s="19"/>
      <c r="I11" s="19">
        <f>SUM(15.43*2080)/12</f>
        <v>2674.5333333333333</v>
      </c>
      <c r="J11" s="19"/>
      <c r="K11" s="25">
        <f>SUM(I11*12)</f>
        <v>32094.400000000001</v>
      </c>
      <c r="M11" s="39"/>
    </row>
    <row r="12" spans="1:13" x14ac:dyDescent="0.2">
      <c r="E12" s="19"/>
      <c r="F12" s="19"/>
      <c r="G12" s="19"/>
      <c r="H12" s="19"/>
      <c r="I12" s="19"/>
      <c r="J12" s="19"/>
      <c r="K12" s="19"/>
      <c r="M12" s="39"/>
    </row>
    <row r="13" spans="1:13" x14ac:dyDescent="0.2">
      <c r="A13" t="s">
        <v>669</v>
      </c>
      <c r="E13" s="19"/>
      <c r="F13" s="19"/>
      <c r="G13" s="19">
        <f>(2740*1.015)</f>
        <v>2781.1</v>
      </c>
      <c r="H13" s="19"/>
      <c r="I13" s="19">
        <v>0</v>
      </c>
      <c r="J13" s="19"/>
      <c r="K13" s="25">
        <f>SUM(I13*12)</f>
        <v>0</v>
      </c>
      <c r="M13" s="39"/>
    </row>
    <row r="14" spans="1:13" x14ac:dyDescent="0.2">
      <c r="E14" s="19"/>
      <c r="F14" s="19"/>
      <c r="G14" s="19"/>
      <c r="H14" s="19"/>
      <c r="I14" s="19"/>
      <c r="J14" s="19"/>
      <c r="K14" s="19"/>
      <c r="M14" s="39"/>
    </row>
    <row r="15" spans="1:13" x14ac:dyDescent="0.2">
      <c r="A15" s="26" t="s">
        <v>814</v>
      </c>
      <c r="E15" s="19" t="s">
        <v>518</v>
      </c>
      <c r="F15" s="19"/>
      <c r="G15" s="19">
        <v>2097</v>
      </c>
      <c r="H15" s="19"/>
      <c r="I15" s="19">
        <f>(2080*14)/12</f>
        <v>2426.6666666666665</v>
      </c>
      <c r="J15" s="19"/>
      <c r="K15" s="25">
        <f>SUM(I15*12)</f>
        <v>29120</v>
      </c>
      <c r="M15" s="39"/>
    </row>
    <row r="16" spans="1:13" x14ac:dyDescent="0.2">
      <c r="E16" s="19"/>
      <c r="F16" s="19"/>
      <c r="G16" s="19"/>
      <c r="H16" s="19"/>
      <c r="I16" s="19"/>
      <c r="J16" s="19"/>
      <c r="K16" s="19"/>
      <c r="M16" s="39"/>
    </row>
    <row r="17" spans="1:13" x14ac:dyDescent="0.2">
      <c r="A17" t="s">
        <v>426</v>
      </c>
      <c r="E17" s="19"/>
      <c r="F17" s="19"/>
      <c r="G17" s="19"/>
      <c r="H17" s="19"/>
      <c r="I17" s="19"/>
      <c r="J17" s="19"/>
      <c r="K17" s="19">
        <v>5725</v>
      </c>
      <c r="M17" s="39"/>
    </row>
    <row r="18" spans="1:13" x14ac:dyDescent="0.2">
      <c r="E18" s="19"/>
      <c r="F18" s="19"/>
      <c r="G18" s="19"/>
      <c r="H18" s="19"/>
      <c r="I18" s="19"/>
      <c r="J18" s="19"/>
      <c r="K18" s="19"/>
      <c r="M18" s="39"/>
    </row>
    <row r="19" spans="1:13" x14ac:dyDescent="0.2">
      <c r="A19" t="s">
        <v>403</v>
      </c>
      <c r="E19" s="19"/>
      <c r="F19" s="19"/>
      <c r="G19" s="19"/>
      <c r="H19" s="19"/>
      <c r="I19" s="19"/>
      <c r="J19" s="19"/>
      <c r="K19" s="19">
        <f>SUM(K9:K18)</f>
        <v>108601.8</v>
      </c>
      <c r="M19" s="39"/>
    </row>
    <row r="20" spans="1:13" x14ac:dyDescent="0.2">
      <c r="E20" s="19"/>
      <c r="F20" s="19"/>
      <c r="G20" s="19"/>
      <c r="H20" s="19"/>
      <c r="I20" s="19"/>
      <c r="J20" s="19"/>
      <c r="K20" s="19"/>
    </row>
    <row r="21" spans="1:13" x14ac:dyDescent="0.2">
      <c r="E21" s="19"/>
      <c r="F21" s="19"/>
      <c r="G21" s="19"/>
      <c r="H21" s="19"/>
      <c r="I21" s="19"/>
      <c r="J21" s="19"/>
      <c r="K21" s="19"/>
    </row>
    <row r="22" spans="1:13" x14ac:dyDescent="0.2">
      <c r="E22" s="19"/>
      <c r="F22" s="19"/>
      <c r="G22" s="19"/>
      <c r="H22" s="19"/>
      <c r="I22" s="19"/>
      <c r="J22" s="19"/>
      <c r="K22" s="19"/>
    </row>
    <row r="23" spans="1:13" x14ac:dyDescent="0.2">
      <c r="E23" s="19"/>
      <c r="F23" s="19"/>
      <c r="G23" s="19"/>
      <c r="H23" s="19"/>
      <c r="I23" s="19"/>
      <c r="J23" s="19"/>
      <c r="K23" s="19"/>
    </row>
    <row r="24" spans="1:13" x14ac:dyDescent="0.2">
      <c r="E24" s="19"/>
      <c r="F24" s="19"/>
      <c r="G24" s="19"/>
      <c r="H24" s="19"/>
      <c r="I24" s="19"/>
      <c r="J24" s="19"/>
      <c r="K24" s="19"/>
    </row>
    <row r="25" spans="1:13" x14ac:dyDescent="0.2">
      <c r="E25" s="19"/>
      <c r="F25" s="19"/>
      <c r="G25" s="19"/>
      <c r="H25" s="19"/>
      <c r="I25" s="19"/>
      <c r="J25" s="19"/>
      <c r="K25" s="19"/>
    </row>
    <row r="26" spans="1:13" x14ac:dyDescent="0.2">
      <c r="E26" s="19"/>
      <c r="F26" s="19"/>
      <c r="G26" s="19"/>
      <c r="H26" s="19"/>
      <c r="I26" s="19"/>
      <c r="J26" s="19"/>
      <c r="K26" s="19"/>
    </row>
    <row r="27" spans="1:13" x14ac:dyDescent="0.2">
      <c r="E27" s="19"/>
      <c r="F27" s="19"/>
      <c r="G27" s="19"/>
      <c r="H27" s="19"/>
      <c r="I27" s="19"/>
      <c r="J27" s="19"/>
      <c r="K27" s="19"/>
    </row>
  </sheetData>
  <pageMargins left="0.7" right="0.7" top="0.75" bottom="0.75" header="0.3" footer="0.3"/>
  <pageSetup scale="9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topLeftCell="A4" zoomScaleNormal="100" workbookViewId="0">
      <selection activeCell="E31" sqref="E31"/>
    </sheetView>
  </sheetViews>
  <sheetFormatPr defaultRowHeight="12.75" x14ac:dyDescent="0.2"/>
  <cols>
    <col min="3" max="3" width="49" customWidth="1"/>
    <col min="4" max="4" width="5.140625" customWidth="1"/>
    <col min="5" max="5" width="12.4257812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361</v>
      </c>
      <c r="D4" s="9"/>
      <c r="E4" s="26" t="s">
        <v>847</v>
      </c>
    </row>
    <row r="5" spans="1:5" x14ac:dyDescent="0.2">
      <c r="A5" s="9" t="s">
        <v>362</v>
      </c>
      <c r="B5" s="9"/>
      <c r="C5" s="9" t="s">
        <v>1003</v>
      </c>
      <c r="D5" s="9"/>
    </row>
    <row r="6" spans="1:5" x14ac:dyDescent="0.2">
      <c r="A6" s="9"/>
      <c r="B6" s="9"/>
      <c r="C6" s="9"/>
      <c r="D6" s="9"/>
      <c r="E6" s="17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3"/>
      <c r="B9" s="21"/>
      <c r="C9" s="21"/>
      <c r="D9" s="21"/>
      <c r="E9" s="22"/>
    </row>
    <row r="10" spans="1:5" ht="14.25" x14ac:dyDescent="0.2">
      <c r="A10" s="23"/>
      <c r="B10" s="21"/>
      <c r="C10" s="21"/>
      <c r="D10" s="21"/>
      <c r="E10" s="24"/>
    </row>
    <row r="11" spans="1:5" ht="14.25" x14ac:dyDescent="0.2">
      <c r="A11" s="23"/>
      <c r="B11" s="21"/>
      <c r="C11" s="21"/>
      <c r="D11" s="21"/>
      <c r="E11" s="22"/>
    </row>
    <row r="12" spans="1:5" ht="14.25" x14ac:dyDescent="0.2">
      <c r="A12" s="23"/>
      <c r="B12" s="21"/>
      <c r="C12" s="21"/>
      <c r="D12" s="21"/>
      <c r="E12" s="22"/>
    </row>
    <row r="13" spans="1:5" ht="14.25" x14ac:dyDescent="0.2">
      <c r="A13" s="23">
        <v>510.05</v>
      </c>
      <c r="B13" s="21"/>
      <c r="C13" s="21" t="s">
        <v>744</v>
      </c>
      <c r="D13" s="21"/>
      <c r="E13" s="22">
        <v>7928</v>
      </c>
    </row>
    <row r="14" spans="1:5" ht="14.25" x14ac:dyDescent="0.2">
      <c r="A14" s="23"/>
      <c r="B14" s="21"/>
      <c r="C14" s="21" t="s">
        <v>435</v>
      </c>
      <c r="D14" s="21"/>
      <c r="E14" s="22">
        <v>288</v>
      </c>
    </row>
    <row r="15" spans="1:5" ht="14.25" x14ac:dyDescent="0.2">
      <c r="A15" s="23"/>
      <c r="B15" s="21"/>
      <c r="C15" s="21" t="s">
        <v>525</v>
      </c>
      <c r="D15" s="21"/>
      <c r="E15" s="22">
        <f>SUM('Personnel Sched-Muni Court'!K13*0.00515)</f>
        <v>194.47636</v>
      </c>
    </row>
    <row r="16" spans="1:5" ht="14.25" x14ac:dyDescent="0.2">
      <c r="A16" s="23"/>
      <c r="B16" s="21"/>
      <c r="C16" s="21" t="s">
        <v>436</v>
      </c>
      <c r="D16" s="21"/>
      <c r="E16" s="22">
        <v>36</v>
      </c>
    </row>
    <row r="17" spans="1:5" ht="14.25" x14ac:dyDescent="0.2">
      <c r="A17" s="23"/>
      <c r="B17" s="21"/>
      <c r="C17" s="21" t="s">
        <v>479</v>
      </c>
      <c r="D17" s="21"/>
      <c r="E17" s="24">
        <v>55</v>
      </c>
    </row>
    <row r="18" spans="1:5" ht="14.25" x14ac:dyDescent="0.2">
      <c r="A18" s="23"/>
      <c r="B18" s="21"/>
      <c r="C18" s="21" t="s">
        <v>13</v>
      </c>
      <c r="D18" s="21"/>
      <c r="E18" s="22">
        <f>SUM(E13:E17)</f>
        <v>8501.4763600000006</v>
      </c>
    </row>
    <row r="19" spans="1:5" ht="14.25" x14ac:dyDescent="0.2">
      <c r="A19" s="23"/>
      <c r="B19" s="21"/>
      <c r="C19" s="21"/>
      <c r="D19" s="21"/>
      <c r="E19" s="22"/>
    </row>
    <row r="20" spans="1:5" ht="14.25" x14ac:dyDescent="0.2">
      <c r="A20" s="23">
        <v>510.06</v>
      </c>
      <c r="B20" s="21"/>
      <c r="C20" s="21" t="s">
        <v>373</v>
      </c>
      <c r="D20" s="21"/>
      <c r="E20" s="22">
        <f>'Personnel Sched-CodeComp'!K19*0.0765</f>
        <v>8308.0377000000008</v>
      </c>
    </row>
    <row r="21" spans="1:5" ht="14.25" x14ac:dyDescent="0.2">
      <c r="A21" s="23"/>
      <c r="B21" s="21"/>
      <c r="C21" s="21"/>
      <c r="D21" s="21"/>
      <c r="E21" s="22"/>
    </row>
    <row r="22" spans="1:5" ht="14.25" x14ac:dyDescent="0.2">
      <c r="A22" s="23">
        <v>510.07</v>
      </c>
      <c r="B22" s="21"/>
      <c r="C22" s="21" t="s">
        <v>864</v>
      </c>
      <c r="D22" s="21"/>
      <c r="E22" s="22">
        <f>'Personnel Sched-CodeComp'!K19*0.0502</f>
        <v>5451.8103600000004</v>
      </c>
    </row>
    <row r="23" spans="1:5" ht="14.25" x14ac:dyDescent="0.2">
      <c r="A23" s="23"/>
      <c r="B23" s="21"/>
      <c r="C23" s="21"/>
      <c r="D23" s="21"/>
      <c r="E23" s="22"/>
    </row>
    <row r="24" spans="1:5" ht="14.25" x14ac:dyDescent="0.2">
      <c r="A24" s="23">
        <v>510.08</v>
      </c>
      <c r="B24" s="21"/>
      <c r="C24" s="21" t="s">
        <v>567</v>
      </c>
      <c r="D24" s="21"/>
      <c r="E24" s="22">
        <f>(90)*1.015</f>
        <v>91.35</v>
      </c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>
        <v>510.09</v>
      </c>
      <c r="B26" s="21"/>
      <c r="C26" s="21" t="s">
        <v>691</v>
      </c>
      <c r="D26" s="21"/>
      <c r="E26" s="22"/>
    </row>
    <row r="27" spans="1:5" ht="14.25" x14ac:dyDescent="0.2">
      <c r="A27" s="23"/>
      <c r="B27" s="21"/>
      <c r="C27" s="21"/>
      <c r="D27" s="21"/>
      <c r="E27" s="22"/>
    </row>
    <row r="28" spans="1:5" ht="14.25" x14ac:dyDescent="0.2">
      <c r="A28" s="23">
        <v>510.12</v>
      </c>
      <c r="B28" s="21"/>
      <c r="C28" s="21" t="s">
        <v>692</v>
      </c>
      <c r="D28" s="21"/>
      <c r="E28" s="22">
        <v>2550</v>
      </c>
    </row>
    <row r="29" spans="1:5" ht="14.25" x14ac:dyDescent="0.2">
      <c r="A29" s="23"/>
      <c r="B29" s="21"/>
      <c r="C29" s="21"/>
      <c r="D29" s="21"/>
      <c r="E29" s="22"/>
    </row>
    <row r="30" spans="1:5" ht="14.25" x14ac:dyDescent="0.2">
      <c r="A30" s="23">
        <v>520.03</v>
      </c>
      <c r="B30" s="21"/>
      <c r="C30" s="21" t="s">
        <v>480</v>
      </c>
      <c r="D30" s="21"/>
      <c r="E30" s="22">
        <v>0</v>
      </c>
    </row>
    <row r="31" spans="1:5" ht="14.25" x14ac:dyDescent="0.2">
      <c r="A31" s="23"/>
      <c r="B31" s="21"/>
      <c r="C31" s="21"/>
      <c r="D31" s="21"/>
      <c r="E31" s="22"/>
    </row>
    <row r="32" spans="1:5" ht="14.25" x14ac:dyDescent="0.2">
      <c r="A32" s="23">
        <v>530.01</v>
      </c>
      <c r="B32" s="21"/>
      <c r="C32" s="21" t="s">
        <v>201</v>
      </c>
      <c r="D32" s="21"/>
      <c r="E32" s="22">
        <v>0</v>
      </c>
    </row>
    <row r="33" spans="1:5" ht="14.25" x14ac:dyDescent="0.2">
      <c r="A33" s="23"/>
      <c r="B33" s="21"/>
      <c r="C33" s="21"/>
      <c r="D33" s="21"/>
      <c r="E33" s="24"/>
    </row>
    <row r="34" spans="1:5" ht="14.25" x14ac:dyDescent="0.2">
      <c r="A34" s="23"/>
      <c r="B34" s="21"/>
      <c r="C34" s="21" t="s">
        <v>13</v>
      </c>
      <c r="D34" s="21"/>
      <c r="E34" s="22">
        <f>SUM(E32:E33)</f>
        <v>0</v>
      </c>
    </row>
    <row r="35" spans="1:5" ht="14.25" x14ac:dyDescent="0.2">
      <c r="A35" s="23"/>
      <c r="B35" s="21"/>
      <c r="C35" s="21"/>
      <c r="D35" s="21"/>
      <c r="E35" s="22"/>
    </row>
    <row r="36" spans="1:5" ht="14.25" x14ac:dyDescent="0.2">
      <c r="A36" s="23"/>
      <c r="B36" s="21"/>
      <c r="C36" s="21"/>
      <c r="D36" s="21"/>
      <c r="E36" s="22"/>
    </row>
    <row r="37" spans="1:5" ht="14.25" x14ac:dyDescent="0.2">
      <c r="A37" s="23"/>
      <c r="B37" s="21"/>
      <c r="C37" s="21"/>
      <c r="D37" s="21"/>
      <c r="E37" s="22"/>
    </row>
    <row r="38" spans="1:5" ht="14.25" x14ac:dyDescent="0.2">
      <c r="A38" s="23"/>
      <c r="B38" s="21"/>
      <c r="C38" s="21"/>
      <c r="D38" s="21"/>
      <c r="E38" s="22"/>
    </row>
    <row r="39" spans="1:5" ht="14.25" x14ac:dyDescent="0.2">
      <c r="A39" s="23"/>
      <c r="B39" s="21"/>
      <c r="C39" s="21"/>
      <c r="D39" s="21"/>
      <c r="E39" s="22"/>
    </row>
    <row r="40" spans="1:5" ht="14.25" x14ac:dyDescent="0.2">
      <c r="A40" s="23"/>
      <c r="B40" s="21"/>
      <c r="C40" s="21"/>
      <c r="D40" s="21"/>
      <c r="E40" s="22"/>
    </row>
    <row r="41" spans="1:5" ht="14.25" x14ac:dyDescent="0.2">
      <c r="A41" s="23"/>
      <c r="B41" s="21"/>
      <c r="C41" s="21"/>
      <c r="D41" s="21"/>
      <c r="E41" s="22"/>
    </row>
    <row r="42" spans="1:5" ht="14.25" x14ac:dyDescent="0.2">
      <c r="A42" s="23"/>
      <c r="B42" s="21"/>
      <c r="C42" s="21"/>
      <c r="D42" s="21"/>
      <c r="E42" s="22"/>
    </row>
    <row r="43" spans="1:5" ht="14.25" x14ac:dyDescent="0.2">
      <c r="A43" s="23"/>
      <c r="B43" s="21"/>
      <c r="C43" s="21"/>
      <c r="D43" s="21"/>
      <c r="E43" s="24"/>
    </row>
    <row r="44" spans="1:5" ht="14.25" x14ac:dyDescent="0.2">
      <c r="A44" s="23"/>
      <c r="B44" s="21"/>
      <c r="C44" s="21"/>
      <c r="D44" s="21"/>
      <c r="E44" s="22"/>
    </row>
    <row r="45" spans="1:5" ht="14.25" x14ac:dyDescent="0.2">
      <c r="A45" s="23"/>
      <c r="B45" s="21"/>
      <c r="C45" s="21"/>
      <c r="D45" s="21"/>
      <c r="E45" s="22"/>
    </row>
    <row r="46" spans="1:5" ht="14.25" x14ac:dyDescent="0.2">
      <c r="A46" s="23"/>
      <c r="B46" s="21"/>
      <c r="C46" s="21"/>
      <c r="D46" s="21"/>
      <c r="E46" s="22"/>
    </row>
    <row r="47" spans="1:5" ht="14.25" x14ac:dyDescent="0.2">
      <c r="A47" s="23"/>
      <c r="B47" s="21"/>
      <c r="C47" s="21"/>
      <c r="D47" s="21"/>
      <c r="E47" s="22"/>
    </row>
    <row r="48" spans="1:5" ht="14.25" x14ac:dyDescent="0.2">
      <c r="A48" s="23"/>
      <c r="B48" s="21"/>
      <c r="C48" s="21"/>
      <c r="D48" s="21"/>
      <c r="E48" s="22"/>
    </row>
    <row r="49" spans="1:5" ht="14.25" x14ac:dyDescent="0.2">
      <c r="A49" s="23"/>
      <c r="B49" s="21"/>
      <c r="C49" s="21"/>
      <c r="D49" s="21"/>
      <c r="E49" s="22"/>
    </row>
    <row r="50" spans="1:5" ht="14.25" x14ac:dyDescent="0.2">
      <c r="A50" s="23"/>
      <c r="B50" s="21"/>
      <c r="C50" s="21"/>
      <c r="D50" s="21"/>
      <c r="E50" s="22"/>
    </row>
    <row r="51" spans="1:5" ht="14.25" x14ac:dyDescent="0.2">
      <c r="A51" s="23"/>
      <c r="B51" s="21"/>
      <c r="C51" s="21"/>
      <c r="D51" s="21"/>
      <c r="E51" s="24"/>
    </row>
    <row r="52" spans="1:5" ht="14.25" x14ac:dyDescent="0.2">
      <c r="A52" s="23"/>
      <c r="B52" s="21"/>
      <c r="C52" s="21"/>
      <c r="D52" s="21"/>
      <c r="E52" s="22"/>
    </row>
    <row r="53" spans="1:5" ht="14.25" x14ac:dyDescent="0.2">
      <c r="A53" s="23"/>
      <c r="B53" s="21"/>
      <c r="C53" s="21"/>
      <c r="D53" s="21"/>
      <c r="E53" s="22"/>
    </row>
    <row r="54" spans="1:5" ht="14.25" x14ac:dyDescent="0.2">
      <c r="A54" s="23"/>
      <c r="B54" s="21"/>
      <c r="C54" s="21"/>
      <c r="D54" s="21"/>
      <c r="E54" s="22"/>
    </row>
    <row r="55" spans="1:5" ht="14.25" x14ac:dyDescent="0.2">
      <c r="A55" s="23"/>
      <c r="B55" s="21"/>
      <c r="C55" s="21"/>
      <c r="D55" s="21"/>
      <c r="E55" s="24"/>
    </row>
    <row r="56" spans="1:5" ht="14.25" x14ac:dyDescent="0.2">
      <c r="A56" s="23"/>
      <c r="B56" s="21"/>
      <c r="C56" s="21"/>
      <c r="D56" s="21"/>
      <c r="E56" s="22"/>
    </row>
    <row r="57" spans="1:5" ht="14.25" x14ac:dyDescent="0.2">
      <c r="A57" s="23"/>
      <c r="B57" s="21"/>
      <c r="C57" s="21"/>
      <c r="D57" s="21"/>
      <c r="E57" s="22"/>
    </row>
    <row r="58" spans="1:5" ht="14.25" x14ac:dyDescent="0.2">
      <c r="A58" s="23"/>
      <c r="B58" s="21"/>
      <c r="C58" s="21"/>
      <c r="D58" s="21"/>
      <c r="E58" s="22"/>
    </row>
    <row r="59" spans="1:5" ht="14.25" x14ac:dyDescent="0.2">
      <c r="A59" s="23"/>
      <c r="B59" s="21"/>
      <c r="C59" s="21"/>
      <c r="D59" s="21"/>
      <c r="E59" s="24"/>
    </row>
    <row r="60" spans="1:5" ht="14.25" x14ac:dyDescent="0.2">
      <c r="A60" s="23"/>
      <c r="B60" s="21"/>
      <c r="C60" s="21"/>
      <c r="D60" s="21"/>
      <c r="E60" s="22"/>
    </row>
    <row r="61" spans="1:5" ht="14.25" x14ac:dyDescent="0.2">
      <c r="A61" s="23"/>
      <c r="B61" s="21"/>
      <c r="C61" s="21"/>
      <c r="D61" s="21"/>
      <c r="E61" s="22"/>
    </row>
    <row r="62" spans="1:5" ht="14.25" x14ac:dyDescent="0.2">
      <c r="A62" s="28"/>
      <c r="C62" s="28"/>
      <c r="E62" s="29"/>
    </row>
    <row r="64" spans="1:5" ht="14.25" x14ac:dyDescent="0.2">
      <c r="A64" s="28"/>
      <c r="B64" s="28"/>
      <c r="C64" s="21"/>
      <c r="D64" s="28"/>
      <c r="E64" s="28"/>
    </row>
    <row r="65" spans="1:5" ht="14.25" x14ac:dyDescent="0.2">
      <c r="A65" s="28"/>
      <c r="B65" s="28"/>
      <c r="C65" s="28"/>
      <c r="D65" s="28"/>
      <c r="E65" s="28"/>
    </row>
    <row r="66" spans="1:5" ht="14.25" x14ac:dyDescent="0.2">
      <c r="A66" s="28"/>
      <c r="B66" s="28"/>
      <c r="C66" s="28"/>
      <c r="D66" s="28"/>
      <c r="E66" s="28"/>
    </row>
    <row r="67" spans="1:5" ht="14.25" x14ac:dyDescent="0.2">
      <c r="A67" s="28"/>
      <c r="B67" s="28"/>
      <c r="C67" s="28"/>
      <c r="D67" s="28"/>
      <c r="E67" s="28"/>
    </row>
    <row r="68" spans="1:5" ht="14.25" x14ac:dyDescent="0.2">
      <c r="A68" s="28"/>
      <c r="B68" s="28"/>
      <c r="C68" s="28"/>
      <c r="D68" s="28"/>
      <c r="E68" s="28"/>
    </row>
    <row r="69" spans="1:5" ht="14.25" x14ac:dyDescent="0.2">
      <c r="A69" s="28"/>
      <c r="B69" s="28"/>
      <c r="C69" s="28"/>
      <c r="D69" s="28"/>
      <c r="E69" s="28"/>
    </row>
    <row r="70" spans="1:5" ht="14.25" x14ac:dyDescent="0.2">
      <c r="A70" s="28"/>
      <c r="B70" s="28"/>
      <c r="C70" s="28"/>
      <c r="D70" s="28"/>
      <c r="E70" s="28"/>
    </row>
    <row r="71" spans="1:5" ht="14.25" x14ac:dyDescent="0.2">
      <c r="A71" s="28"/>
      <c r="B71" s="28"/>
      <c r="C71" s="28"/>
      <c r="D71" s="28"/>
      <c r="E71" s="28"/>
    </row>
  </sheetData>
  <printOptions headings="1" gridLines="1"/>
  <pageMargins left="0.7" right="0.7" top="0.75" bottom="0.75" header="0.3" footer="0.3"/>
  <pageSetup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zoomScaleNormal="100" workbookViewId="0">
      <selection activeCell="I12" sqref="I12"/>
    </sheetView>
  </sheetViews>
  <sheetFormatPr defaultRowHeight="12.75" x14ac:dyDescent="0.2"/>
  <cols>
    <col min="5" max="6" width="0" hidden="1" customWidth="1"/>
    <col min="11" max="11" width="10.140625" bestFit="1" customWidth="1"/>
  </cols>
  <sheetData>
    <row r="2" spans="1:11" x14ac:dyDescent="0.2">
      <c r="A2" t="s">
        <v>396</v>
      </c>
    </row>
    <row r="4" spans="1:11" x14ac:dyDescent="0.2">
      <c r="A4" t="s">
        <v>360</v>
      </c>
      <c r="B4" t="s">
        <v>416</v>
      </c>
    </row>
    <row r="5" spans="1:11" x14ac:dyDescent="0.2">
      <c r="A5" t="s">
        <v>362</v>
      </c>
      <c r="B5" t="s">
        <v>417</v>
      </c>
    </row>
    <row r="6" spans="1:11" x14ac:dyDescent="0.2">
      <c r="E6" s="27" t="s">
        <v>407</v>
      </c>
      <c r="G6" s="27" t="s">
        <v>713</v>
      </c>
      <c r="H6" s="27"/>
      <c r="I6" s="27" t="s">
        <v>849</v>
      </c>
    </row>
    <row r="7" spans="1:11" x14ac:dyDescent="0.2">
      <c r="A7" s="17" t="s">
        <v>397</v>
      </c>
      <c r="E7" s="18" t="s">
        <v>398</v>
      </c>
      <c r="G7" s="18" t="s">
        <v>398</v>
      </c>
      <c r="H7" s="18"/>
      <c r="I7" s="18" t="s">
        <v>398</v>
      </c>
      <c r="K7" s="18" t="s">
        <v>399</v>
      </c>
    </row>
    <row r="9" spans="1:11" x14ac:dyDescent="0.2">
      <c r="A9" s="20" t="s">
        <v>484</v>
      </c>
      <c r="E9" s="19">
        <v>2800</v>
      </c>
      <c r="F9" s="19"/>
      <c r="G9" s="19">
        <f>(2857)*1.015</f>
        <v>2899.8549999999996</v>
      </c>
      <c r="H9" s="19"/>
      <c r="I9" s="19">
        <f>(2080*18.57)/12</f>
        <v>3218.7999999999997</v>
      </c>
      <c r="J9" s="19"/>
      <c r="K9" s="19">
        <f>SUM(I9*12)</f>
        <v>38625.599999999999</v>
      </c>
    </row>
    <row r="10" spans="1:11" x14ac:dyDescent="0.2">
      <c r="E10" s="19"/>
      <c r="F10" s="19"/>
      <c r="G10" s="19"/>
      <c r="H10" s="19"/>
      <c r="I10" s="19"/>
      <c r="J10" s="19"/>
      <c r="K10" s="19"/>
    </row>
    <row r="11" spans="1:11" x14ac:dyDescent="0.2">
      <c r="A11" s="20" t="s">
        <v>484</v>
      </c>
      <c r="E11" s="19">
        <v>2800</v>
      </c>
      <c r="F11" s="19"/>
      <c r="G11" s="19">
        <f>(2857)*1.015</f>
        <v>2899.8549999999996</v>
      </c>
      <c r="H11" s="19"/>
      <c r="I11" s="19">
        <f>(2080*16.5)/12</f>
        <v>2860</v>
      </c>
      <c r="J11" s="19"/>
      <c r="K11" s="19">
        <f>SUM(I11*12)</f>
        <v>34320</v>
      </c>
    </row>
    <row r="12" spans="1:11" x14ac:dyDescent="0.2">
      <c r="E12" s="19"/>
      <c r="F12" s="19"/>
      <c r="G12" s="19"/>
      <c r="H12" s="19"/>
      <c r="I12" s="19"/>
      <c r="J12" s="19"/>
      <c r="K12" s="19"/>
    </row>
    <row r="13" spans="1:11" x14ac:dyDescent="0.2">
      <c r="A13" s="20" t="s">
        <v>426</v>
      </c>
      <c r="E13" s="19"/>
      <c r="F13" s="19"/>
      <c r="G13" s="19"/>
      <c r="H13" s="19"/>
      <c r="I13" s="19"/>
      <c r="J13" s="19"/>
      <c r="K13" s="41">
        <v>2016</v>
      </c>
    </row>
    <row r="14" spans="1:11" x14ac:dyDescent="0.2">
      <c r="E14" s="19"/>
      <c r="F14" s="19"/>
      <c r="G14" s="19"/>
      <c r="H14" s="19"/>
      <c r="I14" s="19"/>
      <c r="J14" s="19"/>
      <c r="K14" s="19"/>
    </row>
    <row r="15" spans="1:11" x14ac:dyDescent="0.2">
      <c r="A15" s="20" t="s">
        <v>403</v>
      </c>
      <c r="E15" s="19"/>
      <c r="F15" s="19"/>
      <c r="G15" s="19"/>
      <c r="H15" s="19"/>
      <c r="I15" s="19"/>
      <c r="J15" s="19"/>
      <c r="K15" s="19">
        <f>SUM(K9:K14)</f>
        <v>74961.600000000006</v>
      </c>
    </row>
    <row r="16" spans="1:11" x14ac:dyDescent="0.2">
      <c r="E16" s="19"/>
      <c r="F16" s="19"/>
      <c r="G16" s="19"/>
      <c r="H16" s="19"/>
      <c r="I16" s="19"/>
      <c r="J16" s="19"/>
      <c r="K16" s="19"/>
    </row>
    <row r="17" spans="5:11" x14ac:dyDescent="0.2">
      <c r="E17" s="19"/>
      <c r="F17" s="19"/>
      <c r="G17" s="19"/>
      <c r="H17" s="19"/>
      <c r="I17" s="19"/>
      <c r="J17" s="19"/>
      <c r="K17" s="19"/>
    </row>
    <row r="18" spans="5:11" x14ac:dyDescent="0.2">
      <c r="E18" s="19"/>
      <c r="F18" s="19"/>
      <c r="G18" s="19"/>
      <c r="H18" s="19"/>
      <c r="I18" s="19"/>
      <c r="J18" s="19"/>
      <c r="K18" s="19"/>
    </row>
    <row r="19" spans="5:11" x14ac:dyDescent="0.2">
      <c r="E19" s="19"/>
      <c r="F19" s="19"/>
      <c r="G19" s="19"/>
      <c r="H19" s="19"/>
      <c r="I19" s="19"/>
      <c r="J19" s="19"/>
      <c r="K19" s="19"/>
    </row>
    <row r="20" spans="5:11" x14ac:dyDescent="0.2">
      <c r="E20" s="19"/>
      <c r="F20" s="19"/>
      <c r="G20" s="19"/>
      <c r="H20" s="19"/>
      <c r="I20" s="19"/>
      <c r="J20" s="19"/>
      <c r="K20" s="19"/>
    </row>
    <row r="21" spans="5:11" x14ac:dyDescent="0.2">
      <c r="E21" s="19"/>
      <c r="F21" s="19"/>
      <c r="G21" s="19"/>
      <c r="H21" s="19"/>
      <c r="I21" s="19"/>
      <c r="J21" s="19"/>
      <c r="K21" s="19"/>
    </row>
    <row r="22" spans="5:11" x14ac:dyDescent="0.2">
      <c r="E22" s="19"/>
      <c r="F22" s="19"/>
      <c r="G22" s="19"/>
      <c r="H22" s="19"/>
      <c r="I22" s="19"/>
      <c r="J22" s="19"/>
      <c r="K22" s="19"/>
    </row>
    <row r="23" spans="5:11" x14ac:dyDescent="0.2">
      <c r="E23" s="19"/>
      <c r="F23" s="19"/>
      <c r="G23" s="19"/>
      <c r="H23" s="19"/>
      <c r="I23" s="19"/>
      <c r="J23" s="19"/>
      <c r="K23" s="19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86"/>
  <sheetViews>
    <sheetView topLeftCell="A43" zoomScaleNormal="100" workbookViewId="0">
      <selection activeCell="E79" sqref="E79"/>
    </sheetView>
  </sheetViews>
  <sheetFormatPr defaultRowHeight="12.75" x14ac:dyDescent="0.2"/>
  <cols>
    <col min="2" max="2" width="5" customWidth="1"/>
    <col min="3" max="3" width="51.5703125" customWidth="1"/>
    <col min="4" max="4" width="3.5703125" customWidth="1"/>
    <col min="5" max="5" width="18.7109375" customWidth="1"/>
    <col min="9" max="9" width="11.42578125" bestFit="1" customWidth="1"/>
    <col min="10" max="10" width="13" bestFit="1" customWidth="1"/>
    <col min="11" max="11" width="4.42578125" bestFit="1" customWidth="1"/>
    <col min="12" max="12" width="3.85546875" bestFit="1" customWidth="1"/>
    <col min="13" max="13" width="13" bestFit="1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418</v>
      </c>
      <c r="E4" s="9"/>
    </row>
    <row r="5" spans="1:5" x14ac:dyDescent="0.2">
      <c r="A5" s="9" t="s">
        <v>362</v>
      </c>
      <c r="B5" s="9"/>
      <c r="C5" s="9" t="s">
        <v>417</v>
      </c>
      <c r="D5" s="9"/>
      <c r="E5" t="s">
        <v>847</v>
      </c>
    </row>
    <row r="6" spans="1:5" x14ac:dyDescent="0.2">
      <c r="A6" s="9"/>
      <c r="B6" s="9"/>
      <c r="C6" s="9"/>
      <c r="D6" s="9"/>
      <c r="E6" s="64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1" t="s">
        <v>485</v>
      </c>
      <c r="B9" s="21"/>
      <c r="C9" s="21" t="s">
        <v>370</v>
      </c>
      <c r="D9" s="21"/>
      <c r="E9" s="22">
        <v>5000</v>
      </c>
    </row>
    <row r="10" spans="1:5" ht="14.25" x14ac:dyDescent="0.2">
      <c r="A10" s="21"/>
      <c r="B10" s="21"/>
      <c r="C10" s="21" t="s">
        <v>486</v>
      </c>
      <c r="D10" s="21"/>
      <c r="E10" s="22">
        <v>7000</v>
      </c>
    </row>
    <row r="11" spans="1:5" ht="14.25" x14ac:dyDescent="0.2">
      <c r="A11" s="21"/>
      <c r="B11" s="21"/>
      <c r="C11" s="21" t="s">
        <v>632</v>
      </c>
      <c r="D11" s="21"/>
      <c r="E11" s="24">
        <v>7500</v>
      </c>
    </row>
    <row r="12" spans="1:5" ht="14.25" x14ac:dyDescent="0.2">
      <c r="A12" s="21"/>
      <c r="B12" s="21"/>
      <c r="C12" s="21" t="s">
        <v>13</v>
      </c>
      <c r="D12" s="21"/>
      <c r="E12" s="22">
        <f>SUM(E9:E11)</f>
        <v>19500</v>
      </c>
    </row>
    <row r="13" spans="1:5" ht="14.25" x14ac:dyDescent="0.2">
      <c r="A13" s="21"/>
      <c r="B13" s="21"/>
      <c r="C13" s="21"/>
      <c r="D13" s="21"/>
      <c r="E13" s="22"/>
    </row>
    <row r="14" spans="1:5" ht="14.25" x14ac:dyDescent="0.2">
      <c r="A14" s="23">
        <v>510.05</v>
      </c>
      <c r="B14" s="21"/>
      <c r="C14" s="21" t="s">
        <v>763</v>
      </c>
      <c r="D14" s="21"/>
      <c r="E14" s="22">
        <v>15856</v>
      </c>
    </row>
    <row r="15" spans="1:5" ht="14.25" x14ac:dyDescent="0.2">
      <c r="A15" s="23"/>
      <c r="B15" s="21"/>
      <c r="C15" s="21" t="s">
        <v>487</v>
      </c>
      <c r="D15" s="21"/>
      <c r="E15" s="22">
        <v>576</v>
      </c>
    </row>
    <row r="16" spans="1:5" ht="14.25" x14ac:dyDescent="0.2">
      <c r="A16" s="23"/>
      <c r="B16" s="21"/>
      <c r="C16" s="21" t="s">
        <v>525</v>
      </c>
      <c r="D16" s="21"/>
      <c r="E16" s="22">
        <f>(355)*1.015</f>
        <v>360.32499999999999</v>
      </c>
    </row>
    <row r="17" spans="1:5" ht="14.25" x14ac:dyDescent="0.2">
      <c r="A17" s="23"/>
      <c r="B17" s="21"/>
      <c r="C17" s="21" t="s">
        <v>488</v>
      </c>
      <c r="D17" s="21"/>
      <c r="E17" s="22">
        <v>72</v>
      </c>
    </row>
    <row r="18" spans="1:5" ht="14.25" x14ac:dyDescent="0.2">
      <c r="A18" s="23"/>
      <c r="B18" s="21"/>
      <c r="C18" s="21" t="s">
        <v>489</v>
      </c>
      <c r="D18" s="21"/>
      <c r="E18" s="24">
        <v>110</v>
      </c>
    </row>
    <row r="19" spans="1:5" ht="14.25" x14ac:dyDescent="0.2">
      <c r="A19" s="23"/>
      <c r="B19" s="21"/>
      <c r="C19" s="21" t="s">
        <v>369</v>
      </c>
      <c r="D19" s="21"/>
      <c r="E19" s="22">
        <f>SUM(E14:E18)</f>
        <v>16974.325000000001</v>
      </c>
    </row>
    <row r="20" spans="1:5" ht="14.25" x14ac:dyDescent="0.2">
      <c r="A20" s="23"/>
      <c r="B20" s="21"/>
      <c r="C20" s="21"/>
      <c r="D20" s="21"/>
      <c r="E20" s="22"/>
    </row>
    <row r="21" spans="1:5" ht="14.25" x14ac:dyDescent="0.2">
      <c r="A21" s="23">
        <v>510.06</v>
      </c>
      <c r="B21" s="21"/>
      <c r="C21" s="21" t="s">
        <v>373</v>
      </c>
      <c r="D21" s="21"/>
      <c r="E21" s="22">
        <f>+'Personnel Sched-Util Admin'!K15*0.0765</f>
        <v>5734.5624000000007</v>
      </c>
    </row>
    <row r="22" spans="1:5" ht="14.25" x14ac:dyDescent="0.2">
      <c r="A22" s="23"/>
      <c r="B22" s="21"/>
      <c r="C22" s="21"/>
      <c r="D22" s="21"/>
      <c r="E22" s="22"/>
    </row>
    <row r="23" spans="1:5" ht="14.25" x14ac:dyDescent="0.2">
      <c r="A23" s="23">
        <v>510.07</v>
      </c>
      <c r="B23" s="21"/>
      <c r="C23" s="21" t="s">
        <v>860</v>
      </c>
      <c r="D23" s="21"/>
      <c r="E23" s="22">
        <f>+'Personnel Sched-Util Admin'!K15*0.0502</f>
        <v>3763.0723200000002</v>
      </c>
    </row>
    <row r="24" spans="1:5" ht="14.25" x14ac:dyDescent="0.2">
      <c r="A24" s="23"/>
      <c r="B24" s="21"/>
      <c r="C24" s="21"/>
      <c r="D24" s="21"/>
      <c r="E24" s="22"/>
    </row>
    <row r="25" spans="1:5" ht="14.25" x14ac:dyDescent="0.2">
      <c r="A25" s="23">
        <v>510.08</v>
      </c>
      <c r="B25" s="21"/>
      <c r="C25" s="21" t="s">
        <v>567</v>
      </c>
      <c r="D25" s="21"/>
      <c r="E25" s="22">
        <f>(188)*1.015</f>
        <v>190.82</v>
      </c>
    </row>
    <row r="26" spans="1:5" ht="14.25" x14ac:dyDescent="0.2">
      <c r="A26" s="23"/>
      <c r="B26" s="21"/>
      <c r="C26" s="21"/>
      <c r="D26" s="21"/>
      <c r="E26" s="22"/>
    </row>
    <row r="27" spans="1:5" ht="14.25" x14ac:dyDescent="0.2">
      <c r="A27" s="23">
        <v>510.09</v>
      </c>
      <c r="B27" s="21"/>
      <c r="C27" s="21" t="s">
        <v>691</v>
      </c>
      <c r="D27" s="21"/>
      <c r="E27" s="22">
        <v>600</v>
      </c>
    </row>
    <row r="28" spans="1:5" ht="14.25" x14ac:dyDescent="0.2">
      <c r="A28" s="23"/>
      <c r="B28" s="21"/>
      <c r="C28" s="21"/>
      <c r="D28" s="21"/>
      <c r="E28" s="22"/>
    </row>
    <row r="29" spans="1:5" ht="14.25" x14ac:dyDescent="0.2">
      <c r="A29" s="23">
        <v>510.12</v>
      </c>
      <c r="B29" s="21"/>
      <c r="C29" s="21" t="s">
        <v>692</v>
      </c>
      <c r="D29" s="21"/>
      <c r="E29" s="22">
        <v>3150</v>
      </c>
    </row>
    <row r="30" spans="1:5" ht="14.25" x14ac:dyDescent="0.2">
      <c r="A30" s="23"/>
      <c r="B30" s="21"/>
      <c r="C30" s="21"/>
      <c r="D30" s="21"/>
      <c r="E30" s="22"/>
    </row>
    <row r="31" spans="1:5" ht="14.25" x14ac:dyDescent="0.2">
      <c r="A31" s="23">
        <v>520.1</v>
      </c>
      <c r="B31" s="21"/>
      <c r="C31" s="21" t="s">
        <v>490</v>
      </c>
      <c r="D31" s="21"/>
      <c r="E31" s="22">
        <v>1300</v>
      </c>
    </row>
    <row r="32" spans="1:5" ht="14.25" x14ac:dyDescent="0.2">
      <c r="A32" s="23"/>
      <c r="B32" s="21"/>
      <c r="C32" s="21" t="s">
        <v>375</v>
      </c>
      <c r="D32" s="21"/>
      <c r="E32" s="22">
        <v>700</v>
      </c>
    </row>
    <row r="33" spans="1:5" ht="14.25" x14ac:dyDescent="0.2">
      <c r="A33" s="23"/>
      <c r="B33" s="21"/>
      <c r="C33" s="21" t="s">
        <v>634</v>
      </c>
      <c r="D33" s="21"/>
      <c r="E33" s="24">
        <v>100</v>
      </c>
    </row>
    <row r="34" spans="1:5" ht="14.25" x14ac:dyDescent="0.2">
      <c r="A34" s="23"/>
      <c r="B34" s="21"/>
      <c r="C34" s="21" t="s">
        <v>13</v>
      </c>
      <c r="D34" s="21"/>
      <c r="E34" s="22">
        <f>SUM(E31:E33)</f>
        <v>2100</v>
      </c>
    </row>
    <row r="35" spans="1:5" ht="14.25" x14ac:dyDescent="0.2">
      <c r="A35" s="23"/>
      <c r="B35" s="21"/>
      <c r="C35" s="21"/>
      <c r="D35" s="21"/>
      <c r="E35" s="22"/>
    </row>
    <row r="36" spans="1:5" ht="14.25" x14ac:dyDescent="0.2">
      <c r="A36" s="23">
        <v>530.02</v>
      </c>
      <c r="B36" s="21"/>
      <c r="C36" s="21" t="s">
        <v>764</v>
      </c>
      <c r="D36" s="21"/>
      <c r="E36" s="22">
        <v>1200</v>
      </c>
    </row>
    <row r="37" spans="1:5" ht="14.25" x14ac:dyDescent="0.2">
      <c r="A37" s="23"/>
      <c r="B37" s="21"/>
      <c r="C37" s="21" t="s">
        <v>765</v>
      </c>
      <c r="D37" s="21"/>
      <c r="E37" s="24">
        <v>250</v>
      </c>
    </row>
    <row r="38" spans="1:5" ht="14.25" x14ac:dyDescent="0.2">
      <c r="A38" s="23"/>
      <c r="B38" s="21"/>
      <c r="C38" s="21" t="s">
        <v>13</v>
      </c>
      <c r="D38" s="21"/>
      <c r="E38" s="22">
        <f>SUM(E36:E37)</f>
        <v>1450</v>
      </c>
    </row>
    <row r="39" spans="1:5" ht="14.25" x14ac:dyDescent="0.2">
      <c r="A39" s="23"/>
      <c r="B39" s="21"/>
      <c r="C39" s="21"/>
      <c r="D39" s="21"/>
      <c r="E39" s="22"/>
    </row>
    <row r="40" spans="1:5" ht="14.25" x14ac:dyDescent="0.2">
      <c r="A40" s="23">
        <v>530.03</v>
      </c>
      <c r="B40" s="21"/>
      <c r="C40" s="21" t="s">
        <v>516</v>
      </c>
      <c r="D40" s="21"/>
      <c r="E40" s="22">
        <v>150</v>
      </c>
    </row>
    <row r="41" spans="1:5" ht="14.25" x14ac:dyDescent="0.2">
      <c r="A41" s="23"/>
      <c r="B41" s="21"/>
      <c r="C41" s="21" t="s">
        <v>766</v>
      </c>
      <c r="D41" s="21"/>
      <c r="E41" s="24">
        <v>21000</v>
      </c>
    </row>
    <row r="42" spans="1:5" ht="14.25" x14ac:dyDescent="0.2">
      <c r="A42" s="23"/>
      <c r="B42" s="21"/>
      <c r="C42" s="21" t="s">
        <v>13</v>
      </c>
      <c r="D42" s="21"/>
      <c r="E42" s="22">
        <f>SUM(E40:E41)</f>
        <v>21150</v>
      </c>
    </row>
    <row r="43" spans="1:5" ht="14.25" x14ac:dyDescent="0.2">
      <c r="A43" s="23"/>
      <c r="B43" s="21"/>
      <c r="C43" s="21"/>
      <c r="D43" s="21"/>
      <c r="E43" s="22"/>
    </row>
    <row r="44" spans="1:5" ht="14.25" x14ac:dyDescent="0.2">
      <c r="A44" s="23">
        <v>530.07000000000005</v>
      </c>
      <c r="B44" s="21"/>
      <c r="C44" s="21" t="s">
        <v>977</v>
      </c>
      <c r="D44" s="21"/>
      <c r="E44" s="22">
        <f>3*2500</f>
        <v>7500</v>
      </c>
    </row>
    <row r="45" spans="1:5" ht="14.25" x14ac:dyDescent="0.2">
      <c r="A45" s="23"/>
      <c r="B45" s="21"/>
      <c r="C45" s="21" t="s">
        <v>978</v>
      </c>
      <c r="D45" s="21"/>
      <c r="E45" s="22"/>
    </row>
    <row r="46" spans="1:5" ht="14.25" x14ac:dyDescent="0.2">
      <c r="A46" s="23"/>
      <c r="B46" s="21"/>
      <c r="C46" s="21"/>
      <c r="D46" s="21"/>
      <c r="E46" s="22"/>
    </row>
    <row r="47" spans="1:5" ht="14.25" x14ac:dyDescent="0.2">
      <c r="A47" s="23">
        <v>530.11</v>
      </c>
      <c r="B47" s="21"/>
      <c r="C47" s="21" t="s">
        <v>633</v>
      </c>
      <c r="D47" s="21"/>
      <c r="E47" s="22">
        <v>11000</v>
      </c>
    </row>
    <row r="48" spans="1:5" ht="14.25" x14ac:dyDescent="0.2">
      <c r="A48" s="23"/>
      <c r="B48" s="21"/>
      <c r="C48" s="21"/>
      <c r="D48" s="21"/>
      <c r="E48" s="22"/>
    </row>
    <row r="49" spans="1:5" ht="14.25" x14ac:dyDescent="0.2">
      <c r="A49" s="23">
        <v>530.12</v>
      </c>
      <c r="B49" s="21"/>
      <c r="C49" s="21" t="s">
        <v>491</v>
      </c>
      <c r="D49" s="21"/>
      <c r="E49" s="22">
        <v>3800</v>
      </c>
    </row>
    <row r="50" spans="1:5" ht="14.25" x14ac:dyDescent="0.2">
      <c r="A50" s="23"/>
      <c r="B50" s="21"/>
      <c r="C50" s="21"/>
      <c r="D50" s="21"/>
      <c r="E50" s="22"/>
    </row>
    <row r="51" spans="1:5" ht="14.25" x14ac:dyDescent="0.2">
      <c r="A51" s="23">
        <v>530.13</v>
      </c>
      <c r="B51" s="21"/>
      <c r="C51" s="21" t="s">
        <v>768</v>
      </c>
      <c r="D51" s="21"/>
      <c r="E51" s="22"/>
    </row>
    <row r="52" spans="1:5" ht="14.25" x14ac:dyDescent="0.2">
      <c r="A52" s="23"/>
      <c r="B52" s="21"/>
      <c r="C52" s="21" t="s">
        <v>767</v>
      </c>
      <c r="D52" s="21"/>
      <c r="E52" s="22"/>
    </row>
    <row r="53" spans="1:5" ht="14.25" x14ac:dyDescent="0.2">
      <c r="A53" s="23"/>
      <c r="B53" s="21"/>
      <c r="C53" s="21" t="s">
        <v>769</v>
      </c>
      <c r="D53" s="21"/>
      <c r="E53" s="22">
        <v>600</v>
      </c>
    </row>
    <row r="54" spans="1:5" ht="14.25" x14ac:dyDescent="0.2">
      <c r="A54" s="23"/>
      <c r="B54" s="21"/>
      <c r="C54" s="21" t="s">
        <v>770</v>
      </c>
      <c r="D54" s="21"/>
      <c r="E54" s="22">
        <v>600</v>
      </c>
    </row>
    <row r="55" spans="1:5" ht="14.25" x14ac:dyDescent="0.2">
      <c r="A55" s="23"/>
      <c r="B55" s="21"/>
      <c r="C55" s="21" t="s">
        <v>771</v>
      </c>
      <c r="D55" s="21"/>
      <c r="E55" s="22">
        <v>700</v>
      </c>
    </row>
    <row r="56" spans="1:5" ht="14.25" x14ac:dyDescent="0.2">
      <c r="A56" s="23"/>
      <c r="B56" s="21"/>
      <c r="C56" s="21" t="s">
        <v>772</v>
      </c>
      <c r="D56" s="21"/>
      <c r="E56" s="22">
        <v>2000</v>
      </c>
    </row>
    <row r="57" spans="1:5" ht="14.25" x14ac:dyDescent="0.2">
      <c r="A57" s="23"/>
      <c r="B57" s="21"/>
      <c r="C57" s="21" t="s">
        <v>773</v>
      </c>
      <c r="D57" s="21"/>
      <c r="E57" s="22">
        <v>1900</v>
      </c>
    </row>
    <row r="58" spans="1:5" ht="14.25" x14ac:dyDescent="0.2">
      <c r="A58" s="23"/>
      <c r="B58" s="21"/>
      <c r="C58" s="21" t="s">
        <v>774</v>
      </c>
      <c r="D58" s="21"/>
      <c r="E58" s="22">
        <v>500</v>
      </c>
    </row>
    <row r="59" spans="1:5" ht="14.25" x14ac:dyDescent="0.2">
      <c r="A59" s="23"/>
      <c r="B59" s="21"/>
      <c r="C59" s="21" t="s">
        <v>775</v>
      </c>
      <c r="D59" s="21"/>
      <c r="E59" s="22">
        <v>1500</v>
      </c>
    </row>
    <row r="60" spans="1:5" ht="14.25" x14ac:dyDescent="0.2">
      <c r="A60" s="23"/>
      <c r="B60" s="21"/>
      <c r="C60" s="21" t="s">
        <v>776</v>
      </c>
      <c r="D60" s="21"/>
      <c r="E60" s="22">
        <v>185</v>
      </c>
    </row>
    <row r="61" spans="1:5" ht="14.25" x14ac:dyDescent="0.2">
      <c r="A61" s="23"/>
      <c r="B61" s="21"/>
      <c r="C61" s="21" t="s">
        <v>777</v>
      </c>
      <c r="D61" s="21"/>
      <c r="E61" s="22">
        <v>60</v>
      </c>
    </row>
    <row r="62" spans="1:5" ht="14.25" x14ac:dyDescent="0.2">
      <c r="A62" s="23"/>
      <c r="B62" s="21"/>
      <c r="C62" s="21" t="s">
        <v>379</v>
      </c>
      <c r="D62" s="21"/>
      <c r="E62" s="22">
        <v>880</v>
      </c>
    </row>
    <row r="63" spans="1:5" ht="14.25" x14ac:dyDescent="0.2">
      <c r="A63" s="23"/>
      <c r="B63" s="21"/>
      <c r="C63" s="21" t="s">
        <v>778</v>
      </c>
      <c r="D63" s="21"/>
      <c r="E63" s="24">
        <v>200</v>
      </c>
    </row>
    <row r="64" spans="1:5" ht="14.25" x14ac:dyDescent="0.2">
      <c r="A64" s="23"/>
      <c r="B64" s="21"/>
      <c r="C64" s="21" t="s">
        <v>13</v>
      </c>
      <c r="D64" s="21"/>
      <c r="E64" s="22">
        <f>SUM(E53:E63)</f>
        <v>9125</v>
      </c>
    </row>
    <row r="65" spans="1:13" ht="14.25" x14ac:dyDescent="0.2">
      <c r="A65" s="23"/>
      <c r="B65" s="21"/>
      <c r="C65" s="21"/>
      <c r="D65" s="21"/>
      <c r="E65" s="22"/>
    </row>
    <row r="66" spans="1:13" ht="14.25" x14ac:dyDescent="0.2">
      <c r="A66" s="23">
        <v>550.05999999999995</v>
      </c>
      <c r="B66" s="21"/>
      <c r="C66" s="21" t="s">
        <v>636</v>
      </c>
      <c r="D66" s="21"/>
      <c r="E66" s="22">
        <v>3500</v>
      </c>
    </row>
    <row r="67" spans="1:13" ht="14.25" x14ac:dyDescent="0.2">
      <c r="A67" s="23"/>
      <c r="B67" s="21"/>
      <c r="C67" s="21"/>
      <c r="D67" s="21"/>
      <c r="E67" s="22"/>
    </row>
    <row r="68" spans="1:13" ht="18" x14ac:dyDescent="0.25">
      <c r="A68" s="23">
        <v>590.02</v>
      </c>
      <c r="B68" s="21"/>
      <c r="C68" s="21" t="s">
        <v>779</v>
      </c>
      <c r="D68" s="21"/>
      <c r="E68" s="22">
        <v>0</v>
      </c>
      <c r="I68" s="47"/>
      <c r="J68" s="47"/>
      <c r="K68" s="49"/>
      <c r="L68" s="48"/>
      <c r="M68" s="49"/>
    </row>
    <row r="69" spans="1:13" ht="14.25" x14ac:dyDescent="0.2">
      <c r="A69" s="23"/>
      <c r="B69" s="21"/>
      <c r="C69" s="21"/>
      <c r="D69" s="21"/>
      <c r="E69" s="22"/>
    </row>
    <row r="70" spans="1:13" ht="14.25" x14ac:dyDescent="0.2">
      <c r="A70" s="23">
        <v>620.01</v>
      </c>
      <c r="B70" s="21"/>
      <c r="C70" s="21" t="s">
        <v>492</v>
      </c>
      <c r="D70" s="21"/>
      <c r="E70" s="22"/>
    </row>
    <row r="71" spans="1:13" ht="14.25" x14ac:dyDescent="0.2">
      <c r="A71" s="23"/>
      <c r="B71" s="21"/>
      <c r="C71" s="21" t="s">
        <v>780</v>
      </c>
      <c r="D71" s="21"/>
      <c r="E71" s="22">
        <v>64081</v>
      </c>
    </row>
    <row r="72" spans="1:13" ht="14.25" x14ac:dyDescent="0.2">
      <c r="A72" s="23"/>
      <c r="B72" s="21"/>
      <c r="C72" s="21" t="s">
        <v>520</v>
      </c>
      <c r="D72" s="21"/>
      <c r="E72" s="22">
        <v>322276</v>
      </c>
    </row>
    <row r="73" spans="1:13" ht="14.25" x14ac:dyDescent="0.2">
      <c r="A73" s="23"/>
      <c r="B73" s="21"/>
      <c r="C73" s="76" t="s">
        <v>975</v>
      </c>
      <c r="D73" s="21"/>
      <c r="E73" s="22">
        <v>146050</v>
      </c>
    </row>
    <row r="74" spans="1:13" ht="14.25" x14ac:dyDescent="0.2">
      <c r="A74" s="23"/>
      <c r="B74" s="21"/>
      <c r="C74" s="77" t="s">
        <v>976</v>
      </c>
      <c r="D74" s="21"/>
      <c r="E74" s="24">
        <v>640000</v>
      </c>
    </row>
    <row r="75" spans="1:13" ht="14.25" x14ac:dyDescent="0.2">
      <c r="A75" s="23"/>
      <c r="B75" s="21"/>
      <c r="C75" s="21" t="s">
        <v>13</v>
      </c>
      <c r="D75" s="21"/>
      <c r="E75" s="22">
        <f>SUM(E71:E74)</f>
        <v>1172407</v>
      </c>
    </row>
    <row r="76" spans="1:13" ht="14.25" x14ac:dyDescent="0.2">
      <c r="A76" s="23"/>
      <c r="B76" s="21"/>
      <c r="C76" s="21"/>
      <c r="D76" s="21"/>
      <c r="E76" s="22"/>
    </row>
    <row r="77" spans="1:13" ht="14.25" x14ac:dyDescent="0.2">
      <c r="A77" s="21">
        <v>620.04999999999995</v>
      </c>
      <c r="B77" s="21"/>
      <c r="C77" s="21" t="s">
        <v>493</v>
      </c>
      <c r="D77" s="21"/>
      <c r="E77" s="22">
        <v>300000</v>
      </c>
    </row>
    <row r="78" spans="1:13" ht="14.25" x14ac:dyDescent="0.2">
      <c r="A78" s="21"/>
      <c r="B78" s="21"/>
      <c r="C78" s="21"/>
      <c r="D78" s="21"/>
      <c r="E78" s="22"/>
    </row>
    <row r="79" spans="1:13" ht="14.25" x14ac:dyDescent="0.2">
      <c r="A79" s="21">
        <v>620.07000000000005</v>
      </c>
      <c r="B79" s="21"/>
      <c r="C79" s="21" t="s">
        <v>1044</v>
      </c>
      <c r="D79" s="21"/>
      <c r="E79" s="44">
        <v>500000</v>
      </c>
    </row>
    <row r="80" spans="1:13" ht="14.25" x14ac:dyDescent="0.2">
      <c r="A80" s="21"/>
      <c r="B80" s="21"/>
      <c r="C80" s="21"/>
      <c r="D80" s="21"/>
      <c r="E80" s="22"/>
    </row>
    <row r="81" spans="1:5" ht="14.25" x14ac:dyDescent="0.2">
      <c r="A81" s="21"/>
      <c r="B81" s="21"/>
      <c r="C81" s="21"/>
      <c r="D81" s="21"/>
      <c r="E81" s="22"/>
    </row>
    <row r="82" spans="1:5" ht="14.25" x14ac:dyDescent="0.2">
      <c r="A82" s="21"/>
      <c r="B82" s="21"/>
      <c r="C82" s="21"/>
      <c r="D82" s="21"/>
      <c r="E82" s="22"/>
    </row>
    <row r="83" spans="1:5" ht="14.25" x14ac:dyDescent="0.2">
      <c r="A83" s="21"/>
      <c r="B83" s="21"/>
      <c r="C83" s="21"/>
      <c r="D83" s="21"/>
      <c r="E83" s="22"/>
    </row>
    <row r="84" spans="1:5" ht="14.25" x14ac:dyDescent="0.2">
      <c r="A84" s="21"/>
      <c r="B84" s="21"/>
      <c r="C84" s="21"/>
      <c r="D84" s="21"/>
      <c r="E84" s="22"/>
    </row>
    <row r="85" spans="1:5" ht="14.25" x14ac:dyDescent="0.2">
      <c r="A85" s="21"/>
      <c r="B85" s="21"/>
      <c r="C85" s="21"/>
      <c r="D85" s="21"/>
      <c r="E85" s="22"/>
    </row>
    <row r="86" spans="1:5" ht="14.25" x14ac:dyDescent="0.2">
      <c r="A86" s="21"/>
      <c r="B86" s="21"/>
      <c r="C86" s="21"/>
      <c r="D86" s="21"/>
      <c r="E86" s="22"/>
    </row>
  </sheetData>
  <printOptions headings="1" gridLines="1"/>
  <pageMargins left="0.7" right="0.7" top="0.75" bottom="0.75" header="0.3" footer="0.3"/>
  <pageSetup scale="83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8" sqref="I8"/>
    </sheetView>
  </sheetViews>
  <sheetFormatPr defaultRowHeight="12.75" x14ac:dyDescent="0.2"/>
  <cols>
    <col min="3" max="3" width="0" hidden="1" customWidth="1"/>
    <col min="5" max="6" width="0" hidden="1" customWidth="1"/>
    <col min="11" max="11" width="10.140625" bestFit="1" customWidth="1"/>
  </cols>
  <sheetData>
    <row r="1" spans="1:11" x14ac:dyDescent="0.2">
      <c r="A1" t="s">
        <v>396</v>
      </c>
    </row>
    <row r="3" spans="1:11" x14ac:dyDescent="0.2">
      <c r="A3" t="s">
        <v>360</v>
      </c>
      <c r="B3" t="s">
        <v>416</v>
      </c>
    </row>
    <row r="4" spans="1:11" x14ac:dyDescent="0.2">
      <c r="A4" t="s">
        <v>362</v>
      </c>
      <c r="B4" t="s">
        <v>565</v>
      </c>
    </row>
    <row r="5" spans="1:11" x14ac:dyDescent="0.2">
      <c r="E5" s="27" t="s">
        <v>407</v>
      </c>
      <c r="G5" s="27" t="s">
        <v>849</v>
      </c>
      <c r="H5" s="27"/>
      <c r="I5" s="27" t="s">
        <v>969</v>
      </c>
    </row>
    <row r="6" spans="1:11" x14ac:dyDescent="0.2">
      <c r="A6" s="17" t="s">
        <v>397</v>
      </c>
      <c r="E6" s="18" t="s">
        <v>398</v>
      </c>
      <c r="G6" s="18" t="s">
        <v>398</v>
      </c>
      <c r="H6" s="18"/>
      <c r="I6" s="18" t="s">
        <v>398</v>
      </c>
      <c r="K6" s="18" t="s">
        <v>399</v>
      </c>
    </row>
    <row r="8" spans="1:11" x14ac:dyDescent="0.2">
      <c r="A8" t="s">
        <v>453</v>
      </c>
      <c r="E8" s="25">
        <v>3640</v>
      </c>
      <c r="G8" s="25">
        <f>(2080*24.22)/12</f>
        <v>4198.1333333333332</v>
      </c>
      <c r="H8" s="25"/>
      <c r="I8" s="25">
        <f>(2080*25)/12</f>
        <v>4333.333333333333</v>
      </c>
      <c r="K8" s="25">
        <f>SUM(I8*12)</f>
        <v>52000</v>
      </c>
    </row>
    <row r="9" spans="1:11" x14ac:dyDescent="0.2">
      <c r="E9" s="25"/>
      <c r="G9" s="25"/>
      <c r="H9" s="25"/>
      <c r="I9" s="25"/>
      <c r="K9" s="25"/>
    </row>
    <row r="10" spans="1:11" x14ac:dyDescent="0.2">
      <c r="A10" s="26" t="s">
        <v>639</v>
      </c>
      <c r="C10" s="26" t="s">
        <v>1053</v>
      </c>
      <c r="E10" s="25">
        <v>2513</v>
      </c>
      <c r="G10" s="25">
        <f>(2080*16.31)/12</f>
        <v>2827.0666666666662</v>
      </c>
      <c r="H10" s="25"/>
      <c r="I10" s="25">
        <f>(2080*17.31)/12</f>
        <v>3000.3999999999996</v>
      </c>
      <c r="K10" s="39">
        <f>SUM(I10*12)</f>
        <v>36004.799999999996</v>
      </c>
    </row>
    <row r="11" spans="1:11" x14ac:dyDescent="0.2">
      <c r="E11" s="25"/>
      <c r="G11" s="25"/>
      <c r="H11" s="25"/>
      <c r="I11" s="25"/>
      <c r="K11" s="39"/>
    </row>
    <row r="12" spans="1:11" x14ac:dyDescent="0.2">
      <c r="A12" s="26" t="s">
        <v>639</v>
      </c>
      <c r="C12" s="26" t="s">
        <v>1054</v>
      </c>
      <c r="E12" s="25"/>
      <c r="G12" s="25">
        <f>(2080*15.31)/12</f>
        <v>2653.7333333333331</v>
      </c>
      <c r="H12" s="25"/>
      <c r="I12" s="25">
        <f>(2080*15.81)/12</f>
        <v>2740.4</v>
      </c>
      <c r="K12" s="39">
        <f>SUM(I12*12)</f>
        <v>32884.800000000003</v>
      </c>
    </row>
    <row r="13" spans="1:11" x14ac:dyDescent="0.2">
      <c r="E13" s="25"/>
      <c r="G13" s="25"/>
      <c r="H13" s="25"/>
      <c r="I13" s="25"/>
      <c r="K13" s="25"/>
    </row>
    <row r="14" spans="1:11" x14ac:dyDescent="0.2">
      <c r="A14" t="s">
        <v>426</v>
      </c>
      <c r="E14" s="25"/>
      <c r="G14" s="25"/>
      <c r="H14" s="25"/>
      <c r="I14" s="25"/>
      <c r="K14" s="46">
        <v>42000</v>
      </c>
    </row>
    <row r="15" spans="1:11" x14ac:dyDescent="0.2">
      <c r="E15" s="25"/>
      <c r="G15" s="25"/>
      <c r="H15" s="25"/>
      <c r="I15" s="25"/>
      <c r="K15" s="25"/>
    </row>
    <row r="16" spans="1:11" x14ac:dyDescent="0.2">
      <c r="A16" t="s">
        <v>403</v>
      </c>
      <c r="E16" s="25"/>
      <c r="G16" s="25"/>
      <c r="H16" s="25"/>
      <c r="I16" s="25"/>
      <c r="K16" s="25">
        <f>SUM(K8:K15)</f>
        <v>162889.59999999998</v>
      </c>
    </row>
    <row r="17" spans="5:11" x14ac:dyDescent="0.2">
      <c r="E17" s="25"/>
      <c r="G17" s="25"/>
      <c r="H17" s="25"/>
      <c r="I17" s="25"/>
      <c r="K17" s="25"/>
    </row>
    <row r="18" spans="5:11" x14ac:dyDescent="0.2">
      <c r="E18" s="25"/>
      <c r="G18" s="25"/>
      <c r="H18" s="25"/>
      <c r="I18" s="25"/>
      <c r="K18" s="25"/>
    </row>
    <row r="19" spans="5:11" x14ac:dyDescent="0.2">
      <c r="E19" s="25"/>
      <c r="G19" s="25"/>
      <c r="H19" s="25"/>
      <c r="I19" s="25"/>
      <c r="K19" s="25"/>
    </row>
    <row r="20" spans="5:11" x14ac:dyDescent="0.2">
      <c r="G20" s="25"/>
      <c r="H20" s="25"/>
      <c r="I20" s="25"/>
      <c r="K20" s="25"/>
    </row>
    <row r="21" spans="5:11" x14ac:dyDescent="0.2">
      <c r="G21" s="25"/>
      <c r="H21" s="25"/>
      <c r="I21" s="25"/>
      <c r="K21" s="25"/>
    </row>
    <row r="22" spans="5:11" x14ac:dyDescent="0.2">
      <c r="G22" s="25"/>
      <c r="H22" s="25"/>
      <c r="I22" s="25"/>
      <c r="K22" s="25"/>
    </row>
    <row r="23" spans="5:11" x14ac:dyDescent="0.2">
      <c r="K23" s="25"/>
    </row>
    <row r="24" spans="5:11" x14ac:dyDescent="0.2">
      <c r="K24" s="2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3"/>
  <sheetViews>
    <sheetView topLeftCell="A62" zoomScaleNormal="100" workbookViewId="0">
      <selection activeCell="E5" sqref="E5"/>
    </sheetView>
  </sheetViews>
  <sheetFormatPr defaultRowHeight="12.75" x14ac:dyDescent="0.2"/>
  <cols>
    <col min="4" max="4" width="41.28515625" customWidth="1"/>
    <col min="6" max="6" width="10.28515625" customWidth="1"/>
    <col min="11" max="11" width="14.14062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418</v>
      </c>
      <c r="D4" s="9"/>
    </row>
    <row r="5" spans="1:5" x14ac:dyDescent="0.2">
      <c r="A5" s="9" t="s">
        <v>362</v>
      </c>
      <c r="B5" s="9"/>
      <c r="C5" s="9" t="s">
        <v>565</v>
      </c>
      <c r="D5" s="9"/>
      <c r="E5" t="s">
        <v>847</v>
      </c>
    </row>
    <row r="6" spans="1:5" x14ac:dyDescent="0.2">
      <c r="A6" s="9"/>
      <c r="B6" s="9"/>
      <c r="C6" s="9"/>
      <c r="D6" s="9"/>
      <c r="E6" s="64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1">
        <v>510.03</v>
      </c>
      <c r="B9" s="21"/>
      <c r="C9" s="21" t="s">
        <v>815</v>
      </c>
      <c r="D9" s="21"/>
      <c r="E9" s="22">
        <v>3000</v>
      </c>
    </row>
    <row r="10" spans="1:5" ht="14.25" x14ac:dyDescent="0.2">
      <c r="A10" s="21"/>
      <c r="B10" s="21"/>
      <c r="C10" s="21" t="s">
        <v>640</v>
      </c>
      <c r="D10" s="21"/>
      <c r="E10" s="24">
        <v>3000</v>
      </c>
    </row>
    <row r="11" spans="1:5" ht="14.25" x14ac:dyDescent="0.2">
      <c r="A11" s="21"/>
      <c r="B11" s="21"/>
      <c r="C11" s="21" t="s">
        <v>13</v>
      </c>
      <c r="D11" s="21"/>
      <c r="E11" s="22">
        <f>SUM(E9:E10)</f>
        <v>6000</v>
      </c>
    </row>
    <row r="12" spans="1:5" ht="14.25" x14ac:dyDescent="0.2">
      <c r="A12" s="21"/>
      <c r="B12" s="21"/>
      <c r="C12" s="21"/>
      <c r="D12" s="21"/>
      <c r="E12" s="22"/>
    </row>
    <row r="13" spans="1:5" ht="14.25" x14ac:dyDescent="0.2">
      <c r="A13" s="23">
        <v>510.05</v>
      </c>
      <c r="B13" s="21"/>
      <c r="C13" s="21" t="s">
        <v>719</v>
      </c>
      <c r="D13" s="21"/>
      <c r="E13" s="22">
        <v>23784</v>
      </c>
    </row>
    <row r="14" spans="1:5" ht="14.25" x14ac:dyDescent="0.2">
      <c r="A14" s="23"/>
      <c r="B14" s="21"/>
      <c r="C14" s="21" t="s">
        <v>641</v>
      </c>
      <c r="D14" s="21"/>
      <c r="E14" s="22">
        <v>864</v>
      </c>
    </row>
    <row r="15" spans="1:5" ht="14.25" x14ac:dyDescent="0.2">
      <c r="A15" s="23"/>
      <c r="B15" s="21"/>
      <c r="C15" s="21" t="s">
        <v>525</v>
      </c>
      <c r="D15" s="21"/>
      <c r="E15" s="22">
        <f>(546)*1.015</f>
        <v>554.18999999999994</v>
      </c>
    </row>
    <row r="16" spans="1:5" ht="14.25" x14ac:dyDescent="0.2">
      <c r="A16" s="23"/>
      <c r="B16" s="21"/>
      <c r="C16" s="21" t="s">
        <v>642</v>
      </c>
      <c r="D16" s="21"/>
      <c r="E16" s="22">
        <v>108</v>
      </c>
    </row>
    <row r="17" spans="1:5" ht="14.25" x14ac:dyDescent="0.2">
      <c r="A17" s="23"/>
      <c r="B17" s="21"/>
      <c r="C17" s="21" t="s">
        <v>643</v>
      </c>
      <c r="D17" s="21"/>
      <c r="E17" s="24">
        <v>165</v>
      </c>
    </row>
    <row r="18" spans="1:5" ht="14.25" x14ac:dyDescent="0.2">
      <c r="A18" s="23"/>
      <c r="B18" s="21"/>
      <c r="C18" s="21" t="s">
        <v>369</v>
      </c>
      <c r="D18" s="21"/>
      <c r="E18" s="22">
        <f>SUM(E13:E17)</f>
        <v>25475.19</v>
      </c>
    </row>
    <row r="19" spans="1:5" ht="14.25" x14ac:dyDescent="0.2">
      <c r="A19" s="23"/>
      <c r="B19" s="21"/>
      <c r="C19" s="21"/>
      <c r="D19" s="21"/>
      <c r="E19" s="22"/>
    </row>
    <row r="20" spans="1:5" ht="14.25" x14ac:dyDescent="0.2">
      <c r="A20" s="23">
        <v>510.06</v>
      </c>
      <c r="B20" s="21"/>
      <c r="C20" s="21" t="s">
        <v>373</v>
      </c>
      <c r="D20" s="21"/>
      <c r="E20" s="22">
        <f>+'Personnel Sched-WWTP'!K16*0.0765</f>
        <v>12461.054399999997</v>
      </c>
    </row>
    <row r="21" spans="1:5" ht="14.25" x14ac:dyDescent="0.2">
      <c r="A21" s="23"/>
      <c r="B21" s="21"/>
      <c r="C21" s="21"/>
      <c r="D21" s="21"/>
      <c r="E21" s="22"/>
    </row>
    <row r="22" spans="1:5" ht="14.25" x14ac:dyDescent="0.2">
      <c r="A22" s="23">
        <v>510.07</v>
      </c>
      <c r="B22" s="21"/>
      <c r="C22" s="21" t="s">
        <v>860</v>
      </c>
      <c r="D22" s="21"/>
      <c r="E22" s="22">
        <f>+'Personnel Sched-WWTP'!K16*0.0442</f>
        <v>7199.7203199999994</v>
      </c>
    </row>
    <row r="23" spans="1:5" ht="14.25" x14ac:dyDescent="0.2">
      <c r="A23" s="23"/>
      <c r="B23" s="21"/>
      <c r="C23" s="21"/>
      <c r="D23" s="21"/>
      <c r="E23" s="22"/>
    </row>
    <row r="24" spans="1:5" ht="14.25" x14ac:dyDescent="0.2">
      <c r="A24" s="23">
        <v>510.08</v>
      </c>
      <c r="B24" s="21"/>
      <c r="C24" s="21" t="s">
        <v>816</v>
      </c>
      <c r="D24" s="21"/>
      <c r="E24" s="22">
        <f>(2591)*1.015</f>
        <v>2629.8649999999998</v>
      </c>
    </row>
    <row r="25" spans="1:5" ht="14.25" x14ac:dyDescent="0.2">
      <c r="A25" s="23"/>
      <c r="B25" s="21"/>
      <c r="C25" s="21"/>
      <c r="D25" s="21"/>
      <c r="E25" s="22"/>
    </row>
    <row r="26" spans="1:5" ht="14.25" x14ac:dyDescent="0.2">
      <c r="A26" s="23">
        <v>510.09</v>
      </c>
      <c r="B26" s="21"/>
      <c r="C26" s="21" t="s">
        <v>691</v>
      </c>
      <c r="D26" s="21"/>
      <c r="E26" s="22">
        <v>1077</v>
      </c>
    </row>
    <row r="27" spans="1:5" ht="14.25" x14ac:dyDescent="0.2">
      <c r="A27" s="23"/>
      <c r="B27" s="21"/>
      <c r="C27" s="21"/>
      <c r="D27" s="21"/>
      <c r="E27" s="22"/>
    </row>
    <row r="28" spans="1:5" ht="14.25" x14ac:dyDescent="0.2">
      <c r="A28" s="23">
        <v>510.12</v>
      </c>
      <c r="B28" s="21"/>
      <c r="C28" s="21" t="s">
        <v>692</v>
      </c>
      <c r="D28" s="21"/>
      <c r="E28" s="22">
        <v>900</v>
      </c>
    </row>
    <row r="29" spans="1:5" ht="14.25" x14ac:dyDescent="0.2">
      <c r="A29" s="21"/>
      <c r="B29" s="21"/>
      <c r="C29" s="21"/>
      <c r="D29" s="21"/>
      <c r="E29" s="22"/>
    </row>
    <row r="30" spans="1:5" ht="14.25" x14ac:dyDescent="0.2">
      <c r="A30" s="21">
        <v>520.04</v>
      </c>
      <c r="B30" s="21"/>
      <c r="C30" s="21" t="s">
        <v>197</v>
      </c>
      <c r="D30" s="21"/>
      <c r="E30" s="22">
        <v>4300</v>
      </c>
    </row>
    <row r="31" spans="1:5" ht="14.25" x14ac:dyDescent="0.2">
      <c r="A31" s="21"/>
      <c r="B31" s="21"/>
      <c r="C31" s="21" t="s">
        <v>460</v>
      </c>
      <c r="D31" s="21"/>
      <c r="E31" s="24">
        <v>200</v>
      </c>
    </row>
    <row r="32" spans="1:5" ht="14.25" x14ac:dyDescent="0.2">
      <c r="A32" s="21"/>
      <c r="B32" s="21"/>
      <c r="C32" s="21" t="s">
        <v>13</v>
      </c>
      <c r="D32" s="21"/>
      <c r="E32" s="22">
        <f>SUM(E30:E31)</f>
        <v>4500</v>
      </c>
    </row>
    <row r="33" spans="1:12" ht="14.25" x14ac:dyDescent="0.2">
      <c r="A33" s="21"/>
      <c r="B33" s="21"/>
      <c r="C33" s="21"/>
      <c r="D33" s="21"/>
      <c r="E33" s="22"/>
    </row>
    <row r="34" spans="1:12" ht="18" x14ac:dyDescent="0.25">
      <c r="A34" s="21">
        <v>520.09</v>
      </c>
      <c r="B34" s="21"/>
      <c r="C34" s="21" t="s">
        <v>644</v>
      </c>
      <c r="D34" s="21"/>
      <c r="E34" s="22">
        <v>10000</v>
      </c>
      <c r="K34" s="6"/>
      <c r="L34" s="1"/>
    </row>
    <row r="35" spans="1:12" ht="18" x14ac:dyDescent="0.25">
      <c r="A35" s="21"/>
      <c r="B35" s="21"/>
      <c r="C35" s="21" t="s">
        <v>645</v>
      </c>
      <c r="D35" s="21"/>
      <c r="E35" s="22">
        <v>10000</v>
      </c>
      <c r="K35" s="5"/>
      <c r="L35" s="3"/>
    </row>
    <row r="36" spans="1:12" ht="18" x14ac:dyDescent="0.25">
      <c r="A36" s="21"/>
      <c r="B36" s="21"/>
      <c r="C36" s="21" t="s">
        <v>216</v>
      </c>
      <c r="D36" s="21"/>
      <c r="E36" s="24">
        <v>18000</v>
      </c>
      <c r="K36" s="6"/>
      <c r="L36" s="1"/>
    </row>
    <row r="37" spans="1:12" ht="18" x14ac:dyDescent="0.25">
      <c r="A37" s="21"/>
      <c r="B37" s="21"/>
      <c r="C37" s="21" t="s">
        <v>13</v>
      </c>
      <c r="D37" s="21"/>
      <c r="E37" s="22">
        <f>SUM(E34:E36)</f>
        <v>38000</v>
      </c>
      <c r="K37" s="6"/>
      <c r="L37" s="1"/>
    </row>
    <row r="38" spans="1:12" ht="18" x14ac:dyDescent="0.25">
      <c r="A38" s="21"/>
      <c r="B38" s="21"/>
      <c r="C38" s="21"/>
      <c r="D38" s="21"/>
      <c r="E38" s="22"/>
      <c r="K38" s="6"/>
      <c r="L38" s="1"/>
    </row>
    <row r="39" spans="1:12" ht="18" x14ac:dyDescent="0.25">
      <c r="A39" s="21">
        <v>530.01</v>
      </c>
      <c r="B39" s="21"/>
      <c r="C39" s="21" t="s">
        <v>1001</v>
      </c>
      <c r="D39" s="21"/>
      <c r="E39" s="22">
        <v>2550</v>
      </c>
      <c r="K39" s="6"/>
      <c r="L39" s="1"/>
    </row>
    <row r="40" spans="1:12" ht="14.25" x14ac:dyDescent="0.2">
      <c r="A40" s="21"/>
      <c r="B40" s="21"/>
      <c r="C40" s="21" t="s">
        <v>648</v>
      </c>
      <c r="D40" s="21"/>
      <c r="E40" s="24">
        <v>2450</v>
      </c>
    </row>
    <row r="41" spans="1:12" ht="14.25" x14ac:dyDescent="0.2">
      <c r="A41" s="21"/>
      <c r="B41" s="21"/>
      <c r="C41" s="21" t="s">
        <v>13</v>
      </c>
      <c r="D41" s="21"/>
      <c r="E41" s="22">
        <f>SUM(E39:E40)</f>
        <v>5000</v>
      </c>
    </row>
    <row r="42" spans="1:12" ht="14.25" x14ac:dyDescent="0.2">
      <c r="A42" s="21"/>
      <c r="B42" s="21"/>
      <c r="C42" s="21"/>
      <c r="D42" s="21"/>
      <c r="E42" s="22"/>
    </row>
    <row r="43" spans="1:12" ht="14.25" x14ac:dyDescent="0.2">
      <c r="A43" s="21">
        <v>530.02</v>
      </c>
      <c r="B43" s="21"/>
      <c r="C43" s="21" t="s">
        <v>646</v>
      </c>
      <c r="D43" s="21"/>
      <c r="E43" s="22"/>
    </row>
    <row r="44" spans="1:12" ht="14.25" x14ac:dyDescent="0.2">
      <c r="A44" s="21"/>
      <c r="B44" s="21"/>
      <c r="C44" s="21" t="s">
        <v>817</v>
      </c>
      <c r="D44" s="21"/>
      <c r="E44" s="22">
        <v>48000</v>
      </c>
    </row>
    <row r="45" spans="1:12" ht="14.25" x14ac:dyDescent="0.2">
      <c r="A45" s="21"/>
      <c r="B45" s="21"/>
      <c r="C45" s="21" t="s">
        <v>1000</v>
      </c>
      <c r="D45" s="21"/>
      <c r="E45" s="22">
        <v>97000</v>
      </c>
    </row>
    <row r="46" spans="1:12" ht="14.25" x14ac:dyDescent="0.2">
      <c r="A46" s="21"/>
      <c r="B46" s="21"/>
      <c r="C46" s="21" t="s">
        <v>818</v>
      </c>
      <c r="D46" s="21"/>
      <c r="E46" s="24">
        <v>5000</v>
      </c>
    </row>
    <row r="47" spans="1:12" ht="14.25" x14ac:dyDescent="0.2">
      <c r="A47" s="21"/>
      <c r="B47" s="21"/>
      <c r="C47" s="21" t="s">
        <v>13</v>
      </c>
      <c r="D47" s="21"/>
      <c r="E47" s="22">
        <f>SUM(E44:E46)</f>
        <v>150000</v>
      </c>
    </row>
    <row r="48" spans="1:12" ht="14.25" x14ac:dyDescent="0.2">
      <c r="A48" s="21"/>
      <c r="B48" s="21"/>
      <c r="C48" s="21"/>
      <c r="D48" s="21"/>
      <c r="E48" s="22"/>
    </row>
    <row r="49" spans="1:5" ht="14.25" x14ac:dyDescent="0.2">
      <c r="A49" s="21">
        <v>530.04</v>
      </c>
      <c r="B49" s="21"/>
      <c r="C49" s="21" t="s">
        <v>647</v>
      </c>
      <c r="D49" s="21"/>
      <c r="E49" s="22">
        <v>45000</v>
      </c>
    </row>
    <row r="50" spans="1:5" ht="14.25" x14ac:dyDescent="0.2">
      <c r="A50" s="21"/>
      <c r="B50" s="21"/>
      <c r="C50" s="21"/>
      <c r="D50" s="21"/>
      <c r="E50" s="22"/>
    </row>
    <row r="51" spans="1:5" ht="14.25" x14ac:dyDescent="0.2">
      <c r="A51" s="21">
        <v>530.07000000000005</v>
      </c>
      <c r="B51" s="21"/>
      <c r="C51" s="21" t="s">
        <v>495</v>
      </c>
      <c r="D51" s="21"/>
      <c r="E51" s="22">
        <v>7000</v>
      </c>
    </row>
    <row r="52" spans="1:5" ht="14.25" x14ac:dyDescent="0.2">
      <c r="A52" s="21"/>
      <c r="B52" s="21"/>
      <c r="C52" s="21"/>
      <c r="D52" s="21"/>
      <c r="E52" s="22"/>
    </row>
    <row r="53" spans="1:5" ht="14.25" x14ac:dyDescent="0.2">
      <c r="A53" s="21">
        <v>530.11</v>
      </c>
      <c r="B53" s="21"/>
      <c r="C53" s="21" t="s">
        <v>649</v>
      </c>
      <c r="D53" s="21"/>
      <c r="E53" s="22">
        <v>210000</v>
      </c>
    </row>
    <row r="54" spans="1:5" ht="14.25" x14ac:dyDescent="0.2">
      <c r="A54" s="21"/>
      <c r="B54" s="21"/>
      <c r="C54" s="21" t="s">
        <v>650</v>
      </c>
      <c r="D54" s="21"/>
      <c r="E54" s="24">
        <v>10000</v>
      </c>
    </row>
    <row r="55" spans="1:5" ht="14.25" x14ac:dyDescent="0.2">
      <c r="A55" s="21"/>
      <c r="B55" s="21"/>
      <c r="C55" s="21" t="s">
        <v>13</v>
      </c>
      <c r="D55" s="21"/>
      <c r="E55" s="22">
        <f>SUM(E53:E54)</f>
        <v>220000</v>
      </c>
    </row>
    <row r="56" spans="1:5" ht="14.25" x14ac:dyDescent="0.2">
      <c r="A56" s="21"/>
      <c r="B56" s="21"/>
      <c r="C56" s="21"/>
      <c r="D56" s="21"/>
      <c r="E56" s="22"/>
    </row>
    <row r="57" spans="1:5" ht="14.25" x14ac:dyDescent="0.2">
      <c r="A57" s="23">
        <v>530.20000000000005</v>
      </c>
      <c r="B57" s="21"/>
      <c r="C57" s="21" t="s">
        <v>819</v>
      </c>
      <c r="D57" s="21"/>
      <c r="E57" s="22">
        <v>10500</v>
      </c>
    </row>
    <row r="58" spans="1:5" ht="14.25" x14ac:dyDescent="0.2">
      <c r="A58" s="21"/>
      <c r="B58" s="21"/>
      <c r="C58" s="21"/>
      <c r="D58" s="21"/>
      <c r="E58" s="22"/>
    </row>
    <row r="59" spans="1:5" ht="14.25" x14ac:dyDescent="0.2">
      <c r="A59" s="21">
        <v>540.01</v>
      </c>
      <c r="B59" s="21"/>
      <c r="C59" s="21" t="s">
        <v>998</v>
      </c>
      <c r="D59" s="21"/>
      <c r="E59" s="22">
        <v>10000</v>
      </c>
    </row>
    <row r="60" spans="1:5" ht="14.25" x14ac:dyDescent="0.2">
      <c r="A60" s="21">
        <v>540.04</v>
      </c>
      <c r="B60" s="21"/>
      <c r="C60" s="21" t="s">
        <v>317</v>
      </c>
      <c r="D60" s="21"/>
      <c r="E60" s="22">
        <v>2000</v>
      </c>
    </row>
    <row r="61" spans="1:5" ht="14.25" x14ac:dyDescent="0.2">
      <c r="A61" s="21">
        <v>550.02</v>
      </c>
      <c r="B61" s="21"/>
      <c r="C61" s="21" t="s">
        <v>997</v>
      </c>
      <c r="D61" s="21"/>
      <c r="E61" s="22">
        <v>75000</v>
      </c>
    </row>
    <row r="62" spans="1:5" ht="14.25" x14ac:dyDescent="0.2">
      <c r="A62" s="21"/>
      <c r="B62" s="21"/>
      <c r="C62" s="21"/>
      <c r="D62" s="21"/>
      <c r="E62" s="22"/>
    </row>
    <row r="63" spans="1:5" ht="14.25" x14ac:dyDescent="0.2">
      <c r="A63" s="21">
        <v>550.03</v>
      </c>
      <c r="B63" s="21"/>
      <c r="C63" s="21" t="s">
        <v>711</v>
      </c>
      <c r="D63" s="21"/>
      <c r="E63" s="22">
        <v>750</v>
      </c>
    </row>
    <row r="64" spans="1:5" ht="14.25" x14ac:dyDescent="0.2">
      <c r="A64" s="21"/>
      <c r="B64" s="21"/>
      <c r="C64" s="21"/>
      <c r="D64" s="21"/>
      <c r="E64" s="22"/>
    </row>
    <row r="65" spans="1:6" ht="14.25" x14ac:dyDescent="0.2">
      <c r="A65" s="21">
        <v>550.04</v>
      </c>
      <c r="B65" s="21"/>
      <c r="C65" s="21" t="s">
        <v>205</v>
      </c>
      <c r="D65" s="21"/>
      <c r="E65" s="22">
        <v>2500</v>
      </c>
    </row>
    <row r="66" spans="1:6" ht="14.25" x14ac:dyDescent="0.2">
      <c r="A66" s="21"/>
      <c r="B66" s="21"/>
      <c r="C66" s="21"/>
      <c r="D66" s="21"/>
      <c r="E66" s="22"/>
    </row>
    <row r="67" spans="1:6" ht="14.25" x14ac:dyDescent="0.2">
      <c r="A67" s="21">
        <v>550.05999999999995</v>
      </c>
      <c r="B67" s="21"/>
      <c r="C67" s="21" t="s">
        <v>652</v>
      </c>
      <c r="D67" s="21"/>
      <c r="E67" s="22">
        <v>500</v>
      </c>
    </row>
    <row r="68" spans="1:6" ht="14.25" x14ac:dyDescent="0.2">
      <c r="A68" s="21"/>
      <c r="B68" s="21"/>
      <c r="C68" s="21"/>
      <c r="D68" s="21"/>
      <c r="E68" s="22"/>
    </row>
    <row r="69" spans="1:6" ht="14.25" x14ac:dyDescent="0.2">
      <c r="A69" s="21">
        <v>560.02</v>
      </c>
      <c r="B69" s="21"/>
      <c r="C69" s="21" t="s">
        <v>179</v>
      </c>
      <c r="D69" s="21"/>
      <c r="E69" s="22">
        <v>300</v>
      </c>
    </row>
    <row r="70" spans="1:6" ht="14.25" x14ac:dyDescent="0.2">
      <c r="A70" s="21"/>
      <c r="B70" s="21"/>
      <c r="C70" s="21"/>
      <c r="D70" s="21"/>
      <c r="E70" s="22"/>
    </row>
    <row r="71" spans="1:6" ht="14.25" x14ac:dyDescent="0.2">
      <c r="A71" s="21">
        <v>560.09</v>
      </c>
      <c r="B71" s="21"/>
      <c r="C71" s="21" t="s">
        <v>496</v>
      </c>
      <c r="D71" s="21"/>
      <c r="E71" s="22">
        <v>100</v>
      </c>
    </row>
    <row r="72" spans="1:6" ht="14.25" x14ac:dyDescent="0.2">
      <c r="A72" s="21"/>
      <c r="B72" s="21"/>
      <c r="C72" s="21"/>
      <c r="D72" s="21"/>
      <c r="E72" s="22"/>
    </row>
    <row r="73" spans="1:6" ht="14.25" x14ac:dyDescent="0.2">
      <c r="A73" s="23">
        <v>560.1</v>
      </c>
      <c r="B73" s="21"/>
      <c r="C73" s="21" t="s">
        <v>651</v>
      </c>
      <c r="D73" s="21"/>
      <c r="E73" s="24">
        <v>2400</v>
      </c>
    </row>
    <row r="74" spans="1:6" ht="14.25" x14ac:dyDescent="0.2">
      <c r="A74" s="21"/>
      <c r="B74" s="21"/>
      <c r="C74" s="21"/>
      <c r="D74" s="21"/>
      <c r="E74" s="22"/>
    </row>
    <row r="75" spans="1:6" ht="14.25" x14ac:dyDescent="0.2">
      <c r="A75" s="21">
        <v>580.01</v>
      </c>
      <c r="B75" s="21"/>
      <c r="C75" s="21" t="s">
        <v>182</v>
      </c>
      <c r="D75" s="21"/>
      <c r="E75" s="22">
        <v>17000</v>
      </c>
    </row>
    <row r="76" spans="1:6" ht="14.25" x14ac:dyDescent="0.2">
      <c r="A76" s="21"/>
      <c r="B76" s="21"/>
      <c r="C76" s="21"/>
      <c r="D76" s="21"/>
      <c r="E76" s="22"/>
    </row>
    <row r="77" spans="1:6" ht="14.25" x14ac:dyDescent="0.2">
      <c r="A77" s="23">
        <v>580.20000000000005</v>
      </c>
      <c r="B77" s="21"/>
      <c r="C77" s="21" t="s">
        <v>820</v>
      </c>
      <c r="D77" s="21"/>
      <c r="E77" s="22">
        <v>10000</v>
      </c>
    </row>
    <row r="78" spans="1:6" ht="14.25" x14ac:dyDescent="0.2">
      <c r="A78" s="21"/>
      <c r="B78" s="21"/>
      <c r="C78" s="21"/>
      <c r="D78" s="21"/>
      <c r="E78" s="22"/>
    </row>
    <row r="79" spans="1:6" ht="14.25" x14ac:dyDescent="0.2">
      <c r="A79" s="21">
        <v>590.02</v>
      </c>
      <c r="B79" s="21"/>
      <c r="C79" s="21" t="s">
        <v>821</v>
      </c>
      <c r="D79" s="21"/>
      <c r="E79" s="22">
        <v>7000</v>
      </c>
    </row>
    <row r="80" spans="1:6" ht="14.25" x14ac:dyDescent="0.2">
      <c r="A80" s="21"/>
      <c r="B80" s="21"/>
      <c r="C80" s="21" t="s">
        <v>822</v>
      </c>
      <c r="D80" s="21"/>
      <c r="E80" s="22">
        <v>0</v>
      </c>
      <c r="F80" s="26" t="s">
        <v>834</v>
      </c>
    </row>
    <row r="81" spans="1:6" ht="14.25" x14ac:dyDescent="0.2">
      <c r="A81" s="21"/>
      <c r="B81" s="21"/>
      <c r="C81" s="21" t="s">
        <v>823</v>
      </c>
      <c r="D81" s="21"/>
      <c r="E81" s="22">
        <v>0</v>
      </c>
      <c r="F81" s="26" t="s">
        <v>834</v>
      </c>
    </row>
    <row r="82" spans="1:6" ht="14.25" x14ac:dyDescent="0.2">
      <c r="A82" s="21"/>
      <c r="B82" s="21"/>
      <c r="C82" s="21" t="s">
        <v>824</v>
      </c>
      <c r="D82" s="21"/>
      <c r="E82" s="22">
        <v>0</v>
      </c>
      <c r="F82" s="26" t="s">
        <v>834</v>
      </c>
    </row>
    <row r="83" spans="1:6" ht="14.25" x14ac:dyDescent="0.2">
      <c r="A83" s="21"/>
      <c r="B83" s="21"/>
      <c r="C83" s="21"/>
      <c r="D83" s="21"/>
      <c r="E83" s="22"/>
    </row>
    <row r="84" spans="1:6" ht="14.25" x14ac:dyDescent="0.2">
      <c r="A84" s="21"/>
      <c r="B84" s="21"/>
      <c r="C84" s="21" t="s">
        <v>825</v>
      </c>
      <c r="D84" s="21"/>
      <c r="E84" s="24">
        <v>2000</v>
      </c>
    </row>
    <row r="85" spans="1:6" ht="14.25" x14ac:dyDescent="0.2">
      <c r="A85" s="21"/>
      <c r="B85" s="21"/>
      <c r="C85" s="21" t="s">
        <v>13</v>
      </c>
      <c r="D85" s="21"/>
      <c r="E85" s="22">
        <f>SUM(E79:E84)</f>
        <v>9000</v>
      </c>
    </row>
    <row r="86" spans="1:6" ht="14.25" x14ac:dyDescent="0.2">
      <c r="A86" s="21"/>
      <c r="B86" s="21"/>
      <c r="C86" s="21"/>
      <c r="D86" s="21"/>
      <c r="E86" s="22"/>
    </row>
    <row r="87" spans="1:6" ht="14.25" x14ac:dyDescent="0.2">
      <c r="A87" s="21">
        <v>590.03</v>
      </c>
      <c r="B87" s="21"/>
      <c r="C87" s="21"/>
      <c r="D87" s="21"/>
      <c r="E87" s="22">
        <v>0</v>
      </c>
    </row>
    <row r="88" spans="1:6" ht="14.25" x14ac:dyDescent="0.2">
      <c r="A88" s="21"/>
      <c r="B88" s="21"/>
      <c r="C88" s="21"/>
      <c r="D88" s="21"/>
      <c r="E88" s="22"/>
    </row>
    <row r="89" spans="1:6" ht="14.25" x14ac:dyDescent="0.2">
      <c r="A89" s="21">
        <v>590.04</v>
      </c>
      <c r="B89" s="21"/>
      <c r="C89" s="21" t="s">
        <v>999</v>
      </c>
      <c r="D89" s="21"/>
      <c r="E89" s="22">
        <v>7709</v>
      </c>
    </row>
    <row r="90" spans="1:6" ht="14.25" x14ac:dyDescent="0.2">
      <c r="A90" s="21"/>
      <c r="B90" s="21"/>
      <c r="C90" s="21"/>
      <c r="D90" s="21"/>
      <c r="E90" s="22"/>
    </row>
    <row r="91" spans="1:6" ht="14.25" x14ac:dyDescent="0.2">
      <c r="A91" s="23">
        <v>620.04999999999995</v>
      </c>
      <c r="B91" s="21"/>
      <c r="C91" s="21" t="s">
        <v>493</v>
      </c>
      <c r="D91" s="21"/>
      <c r="E91" s="22">
        <v>300000</v>
      </c>
    </row>
    <row r="92" spans="1:6" ht="14.25" x14ac:dyDescent="0.2">
      <c r="A92" s="23"/>
      <c r="B92" s="21"/>
      <c r="C92" s="21"/>
      <c r="D92" s="21"/>
      <c r="E92" s="44"/>
    </row>
    <row r="93" spans="1:6" ht="14.25" x14ac:dyDescent="0.2">
      <c r="A93" s="37" t="s">
        <v>623</v>
      </c>
      <c r="B93" s="21"/>
      <c r="C93" s="21"/>
      <c r="D93" s="21"/>
      <c r="E93" s="22"/>
    </row>
    <row r="95" spans="1:6" ht="14.25" x14ac:dyDescent="0.2">
      <c r="B95" s="28" t="s">
        <v>826</v>
      </c>
      <c r="C95" s="28"/>
      <c r="D95" s="28"/>
      <c r="E95" s="29">
        <v>55000</v>
      </c>
      <c r="F95" s="26" t="s">
        <v>834</v>
      </c>
    </row>
    <row r="96" spans="1:6" ht="14.25" x14ac:dyDescent="0.2">
      <c r="B96" s="28"/>
      <c r="C96" s="28"/>
      <c r="D96" s="28"/>
      <c r="E96" s="29"/>
    </row>
    <row r="97" spans="2:6" ht="14.25" x14ac:dyDescent="0.2">
      <c r="B97" s="28" t="s">
        <v>827</v>
      </c>
      <c r="C97" s="28"/>
      <c r="D97" s="28"/>
      <c r="E97" s="29">
        <v>50000</v>
      </c>
      <c r="F97" s="26" t="s">
        <v>834</v>
      </c>
    </row>
    <row r="98" spans="2:6" ht="14.25" x14ac:dyDescent="0.2">
      <c r="B98" s="28"/>
      <c r="C98" s="28"/>
      <c r="D98" s="28"/>
      <c r="E98" s="29"/>
    </row>
    <row r="99" spans="2:6" ht="14.25" x14ac:dyDescent="0.2">
      <c r="B99" s="28"/>
      <c r="C99" s="28"/>
      <c r="D99" s="28"/>
      <c r="E99" s="29"/>
    </row>
    <row r="100" spans="2:6" ht="14.25" x14ac:dyDescent="0.2">
      <c r="B100" s="28"/>
      <c r="C100" s="28"/>
      <c r="D100" s="28"/>
      <c r="E100" s="29"/>
    </row>
    <row r="101" spans="2:6" ht="14.25" x14ac:dyDescent="0.2">
      <c r="B101" s="28"/>
      <c r="C101" s="28"/>
      <c r="D101" s="28"/>
      <c r="E101" s="29"/>
    </row>
    <row r="102" spans="2:6" ht="14.25" x14ac:dyDescent="0.2">
      <c r="B102" s="28"/>
      <c r="C102" s="28"/>
      <c r="D102" s="28"/>
      <c r="E102" s="29"/>
    </row>
    <row r="103" spans="2:6" ht="14.25" x14ac:dyDescent="0.2">
      <c r="B103" s="28"/>
      <c r="C103" s="28"/>
      <c r="D103" s="28"/>
      <c r="E103" s="39"/>
    </row>
  </sheetData>
  <printOptions headings="1" gridLines="1"/>
  <pageMargins left="0.25" right="0.25" top="0.75" bottom="0.75" header="0.3" footer="0.3"/>
  <pageSetup scale="93" orientation="portrait" r:id="rId1"/>
  <rowBreaks count="1" manualBreakCount="1">
    <brk id="4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1" sqref="C1:C1048576"/>
    </sheetView>
  </sheetViews>
  <sheetFormatPr defaultRowHeight="12.75" x14ac:dyDescent="0.2"/>
  <cols>
    <col min="3" max="3" width="0" hidden="1" customWidth="1"/>
    <col min="5" max="6" width="0" hidden="1" customWidth="1"/>
    <col min="11" max="11" width="10.140625" bestFit="1" customWidth="1"/>
  </cols>
  <sheetData>
    <row r="1" spans="1:11" x14ac:dyDescent="0.2">
      <c r="A1" t="s">
        <v>396</v>
      </c>
    </row>
    <row r="3" spans="1:11" x14ac:dyDescent="0.2">
      <c r="A3" t="s">
        <v>360</v>
      </c>
      <c r="B3" t="s">
        <v>416</v>
      </c>
    </row>
    <row r="4" spans="1:11" x14ac:dyDescent="0.2">
      <c r="A4" t="s">
        <v>362</v>
      </c>
      <c r="B4" t="s">
        <v>566</v>
      </c>
    </row>
    <row r="5" spans="1:11" x14ac:dyDescent="0.2">
      <c r="E5" s="27" t="s">
        <v>407</v>
      </c>
      <c r="G5" s="27" t="s">
        <v>849</v>
      </c>
      <c r="H5" s="27"/>
      <c r="I5" s="27" t="s">
        <v>969</v>
      </c>
    </row>
    <row r="6" spans="1:11" x14ac:dyDescent="0.2">
      <c r="A6" s="17" t="s">
        <v>397</v>
      </c>
      <c r="E6" s="18" t="s">
        <v>398</v>
      </c>
      <c r="G6" s="18" t="s">
        <v>398</v>
      </c>
      <c r="H6" s="18"/>
      <c r="I6" s="18" t="s">
        <v>398</v>
      </c>
      <c r="K6" s="18" t="s">
        <v>399</v>
      </c>
    </row>
    <row r="8" spans="1:11" x14ac:dyDescent="0.2">
      <c r="A8" t="s">
        <v>453</v>
      </c>
      <c r="C8" t="s">
        <v>873</v>
      </c>
      <c r="E8" s="25">
        <v>4000</v>
      </c>
      <c r="G8" s="25">
        <f>(2080*26.43)/12</f>
        <v>4581.2</v>
      </c>
      <c r="H8" s="25"/>
      <c r="I8" s="25">
        <f>(2080*26.43)/12</f>
        <v>4581.2</v>
      </c>
      <c r="K8" s="25">
        <f>SUM(I8*12)</f>
        <v>54974.399999999994</v>
      </c>
    </row>
    <row r="9" spans="1:11" x14ac:dyDescent="0.2">
      <c r="E9" s="25"/>
      <c r="G9" s="25"/>
      <c r="H9" s="25"/>
      <c r="I9" s="25"/>
      <c r="K9" s="25"/>
    </row>
    <row r="10" spans="1:11" x14ac:dyDescent="0.2">
      <c r="A10" s="26" t="s">
        <v>639</v>
      </c>
      <c r="C10" t="s">
        <v>874</v>
      </c>
      <c r="E10" s="25">
        <v>2427</v>
      </c>
      <c r="G10" s="25">
        <f>(2080*22.23)/12</f>
        <v>3853.2000000000003</v>
      </c>
      <c r="H10" s="25"/>
      <c r="I10" s="25">
        <f>(2080*22.23)/12</f>
        <v>3853.2000000000003</v>
      </c>
      <c r="K10" s="25">
        <f>SUM(I10*12)</f>
        <v>46238.400000000001</v>
      </c>
    </row>
    <row r="11" spans="1:11" x14ac:dyDescent="0.2">
      <c r="E11" s="25"/>
      <c r="G11" s="25"/>
      <c r="H11" s="25"/>
      <c r="I11" s="25"/>
      <c r="K11" s="25"/>
    </row>
    <row r="12" spans="1:11" x14ac:dyDescent="0.2">
      <c r="A12" t="s">
        <v>426</v>
      </c>
      <c r="E12" s="25"/>
      <c r="G12" s="25"/>
      <c r="H12" s="25"/>
      <c r="I12" s="25"/>
      <c r="K12" s="42">
        <v>20000</v>
      </c>
    </row>
    <row r="13" spans="1:11" x14ac:dyDescent="0.2">
      <c r="E13" s="25"/>
      <c r="G13" s="25"/>
      <c r="H13" s="25"/>
      <c r="I13" s="25"/>
      <c r="K13" s="25"/>
    </row>
    <row r="14" spans="1:11" x14ac:dyDescent="0.2">
      <c r="A14" t="s">
        <v>403</v>
      </c>
      <c r="E14" s="25"/>
      <c r="G14" s="25"/>
      <c r="H14" s="25"/>
      <c r="I14" s="25"/>
      <c r="K14" s="25">
        <f>SUM(K8:K13)</f>
        <v>121212.79999999999</v>
      </c>
    </row>
    <row r="15" spans="1:11" x14ac:dyDescent="0.2">
      <c r="E15" s="25"/>
      <c r="G15" s="25"/>
      <c r="H15" s="25"/>
      <c r="I15" s="25"/>
      <c r="K15" s="25"/>
    </row>
    <row r="16" spans="1:11" x14ac:dyDescent="0.2">
      <c r="E16" s="25"/>
      <c r="G16" s="25"/>
      <c r="H16" s="25"/>
      <c r="I16" s="25"/>
      <c r="K16" s="25"/>
    </row>
    <row r="17" spans="5:11" x14ac:dyDescent="0.2">
      <c r="E17" s="25"/>
      <c r="G17" s="25"/>
      <c r="H17" s="25"/>
      <c r="I17" s="25"/>
      <c r="K17" s="25"/>
    </row>
    <row r="18" spans="5:11" x14ac:dyDescent="0.2">
      <c r="E18" s="25"/>
      <c r="G18" s="25"/>
      <c r="H18" s="25"/>
      <c r="I18" s="25"/>
      <c r="K18" s="25"/>
    </row>
    <row r="19" spans="5:11" x14ac:dyDescent="0.2">
      <c r="G19" s="25"/>
      <c r="H19" s="25"/>
      <c r="I19" s="25"/>
      <c r="K19" s="25"/>
    </row>
    <row r="20" spans="5:11" x14ac:dyDescent="0.2">
      <c r="G20" s="25"/>
      <c r="H20" s="25"/>
      <c r="I20" s="25"/>
      <c r="K20" s="25"/>
    </row>
    <row r="21" spans="5:11" x14ac:dyDescent="0.2">
      <c r="K21" s="25"/>
    </row>
    <row r="22" spans="5:11" x14ac:dyDescent="0.2">
      <c r="K22" s="25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0"/>
  <sheetViews>
    <sheetView topLeftCell="A72" zoomScaleNormal="100" workbookViewId="0">
      <selection activeCell="F10" sqref="F10"/>
    </sheetView>
  </sheetViews>
  <sheetFormatPr defaultRowHeight="12.75" x14ac:dyDescent="0.2"/>
  <cols>
    <col min="3" max="3" width="50.7109375" customWidth="1"/>
    <col min="4" max="4" width="3.7109375" customWidth="1"/>
    <col min="5" max="5" width="10.140625" bestFit="1" customWidth="1"/>
    <col min="6" max="6" width="10.28515625" customWidth="1"/>
  </cols>
  <sheetData>
    <row r="2" spans="1:5" x14ac:dyDescent="0.2">
      <c r="A2" s="9" t="s">
        <v>359</v>
      </c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 t="s">
        <v>360</v>
      </c>
      <c r="B4" s="9"/>
      <c r="C4" s="9" t="s">
        <v>418</v>
      </c>
      <c r="D4" s="9"/>
      <c r="E4" s="9"/>
    </row>
    <row r="5" spans="1:5" x14ac:dyDescent="0.2">
      <c r="A5" s="9" t="s">
        <v>362</v>
      </c>
      <c r="B5" s="9"/>
      <c r="C5" s="9" t="s">
        <v>419</v>
      </c>
      <c r="D5" s="9"/>
      <c r="E5" t="s">
        <v>847</v>
      </c>
    </row>
    <row r="6" spans="1:5" x14ac:dyDescent="0.2">
      <c r="A6" s="9"/>
      <c r="B6" s="9"/>
      <c r="C6" s="9"/>
      <c r="D6" s="9"/>
      <c r="E6" s="17" t="s">
        <v>859</v>
      </c>
    </row>
    <row r="7" spans="1:5" x14ac:dyDescent="0.2">
      <c r="A7" s="10" t="s">
        <v>364</v>
      </c>
      <c r="B7" s="9"/>
      <c r="C7" s="11" t="s">
        <v>365</v>
      </c>
      <c r="D7" s="9"/>
      <c r="E7" s="11" t="s">
        <v>366</v>
      </c>
    </row>
    <row r="9" spans="1:5" ht="14.25" x14ac:dyDescent="0.2">
      <c r="A9" s="21">
        <v>510.03</v>
      </c>
      <c r="B9" s="21"/>
      <c r="C9" s="21" t="s">
        <v>370</v>
      </c>
      <c r="D9" s="21"/>
      <c r="E9" s="29">
        <v>1000</v>
      </c>
    </row>
    <row r="10" spans="1:5" ht="14.25" x14ac:dyDescent="0.2">
      <c r="A10" s="21"/>
      <c r="B10" s="21"/>
      <c r="C10" s="21" t="s">
        <v>640</v>
      </c>
      <c r="D10" s="21"/>
      <c r="E10" s="36">
        <v>14000</v>
      </c>
    </row>
    <row r="11" spans="1:5" ht="14.25" x14ac:dyDescent="0.2">
      <c r="A11" s="21"/>
      <c r="B11" s="21"/>
      <c r="C11" s="21" t="s">
        <v>13</v>
      </c>
      <c r="D11" s="21"/>
      <c r="E11" s="29">
        <f>SUM(E9:E10)</f>
        <v>15000</v>
      </c>
    </row>
    <row r="12" spans="1:5" ht="14.25" x14ac:dyDescent="0.2">
      <c r="A12" s="21"/>
      <c r="B12" s="21"/>
      <c r="C12" s="21"/>
      <c r="D12" s="21"/>
      <c r="E12" s="29"/>
    </row>
    <row r="13" spans="1:5" ht="14.25" x14ac:dyDescent="0.2">
      <c r="A13" s="23">
        <v>510.05</v>
      </c>
      <c r="B13" s="21"/>
      <c r="C13" s="21" t="s">
        <v>756</v>
      </c>
      <c r="D13" s="21"/>
      <c r="E13" s="29">
        <v>15856</v>
      </c>
    </row>
    <row r="14" spans="1:5" ht="14.25" x14ac:dyDescent="0.2">
      <c r="A14" s="23"/>
      <c r="B14" s="21"/>
      <c r="C14" s="21" t="s">
        <v>487</v>
      </c>
      <c r="D14" s="21"/>
      <c r="E14" s="29">
        <v>576</v>
      </c>
    </row>
    <row r="15" spans="1:5" ht="14.25" x14ac:dyDescent="0.2">
      <c r="A15" s="23"/>
      <c r="B15" s="21"/>
      <c r="C15" s="21" t="s">
        <v>525</v>
      </c>
      <c r="D15" s="21"/>
      <c r="E15" s="29">
        <f>(532)*1.015</f>
        <v>539.9799999999999</v>
      </c>
    </row>
    <row r="16" spans="1:5" ht="14.25" x14ac:dyDescent="0.2">
      <c r="A16" s="23"/>
      <c r="B16" s="21"/>
      <c r="C16" s="21" t="s">
        <v>488</v>
      </c>
      <c r="D16" s="21"/>
      <c r="E16" s="29">
        <v>72</v>
      </c>
    </row>
    <row r="17" spans="1:5" ht="14.25" x14ac:dyDescent="0.2">
      <c r="A17" s="23"/>
      <c r="B17" s="21"/>
      <c r="C17" s="21" t="s">
        <v>489</v>
      </c>
      <c r="D17" s="21"/>
      <c r="E17" s="36">
        <v>110</v>
      </c>
    </row>
    <row r="18" spans="1:5" ht="14.25" x14ac:dyDescent="0.2">
      <c r="A18" s="23"/>
      <c r="B18" s="21"/>
      <c r="C18" s="21" t="s">
        <v>369</v>
      </c>
      <c r="D18" s="21"/>
      <c r="E18" s="29">
        <f>SUM(E13:E17)</f>
        <v>17153.98</v>
      </c>
    </row>
    <row r="19" spans="1:5" ht="14.25" x14ac:dyDescent="0.2">
      <c r="A19" s="23"/>
      <c r="B19" s="21"/>
      <c r="C19" s="21"/>
      <c r="D19" s="21"/>
      <c r="E19" s="29"/>
    </row>
    <row r="20" spans="1:5" ht="14.25" x14ac:dyDescent="0.2">
      <c r="A20" s="23">
        <v>510.06</v>
      </c>
      <c r="B20" s="21"/>
      <c r="C20" s="21" t="s">
        <v>373</v>
      </c>
      <c r="D20" s="21"/>
      <c r="E20" s="29">
        <f>+'Personnel Sched-RO'!K14*0.0765</f>
        <v>9272.779199999999</v>
      </c>
    </row>
    <row r="21" spans="1:5" ht="14.25" x14ac:dyDescent="0.2">
      <c r="A21" s="23"/>
      <c r="B21" s="21"/>
      <c r="C21" s="21"/>
      <c r="D21" s="21"/>
      <c r="E21" s="29"/>
    </row>
    <row r="22" spans="1:5" ht="14.25" x14ac:dyDescent="0.2">
      <c r="A22" s="23">
        <v>510.07</v>
      </c>
      <c r="B22" s="21"/>
      <c r="C22" s="21" t="s">
        <v>860</v>
      </c>
      <c r="D22" s="21"/>
      <c r="E22" s="29">
        <f>+'Personnel Sched-RO'!K14*0.0502</f>
        <v>6084.88256</v>
      </c>
    </row>
    <row r="23" spans="1:5" ht="14.25" x14ac:dyDescent="0.2">
      <c r="A23" s="23"/>
      <c r="B23" s="21"/>
      <c r="C23" s="21"/>
      <c r="D23" s="21"/>
      <c r="E23" s="29"/>
    </row>
    <row r="24" spans="1:5" ht="14.25" x14ac:dyDescent="0.2">
      <c r="A24" s="23">
        <v>510.08</v>
      </c>
      <c r="B24" s="21"/>
      <c r="C24" s="21" t="s">
        <v>781</v>
      </c>
      <c r="D24" s="21"/>
      <c r="E24" s="29">
        <f>(3172)*1.015</f>
        <v>3219.5799999999995</v>
      </c>
    </row>
    <row r="25" spans="1:5" ht="14.25" x14ac:dyDescent="0.2">
      <c r="A25" s="23"/>
      <c r="B25" s="21"/>
      <c r="C25" s="21"/>
      <c r="D25" s="21"/>
      <c r="E25" s="29"/>
    </row>
    <row r="26" spans="1:5" ht="14.25" x14ac:dyDescent="0.2">
      <c r="A26" s="23">
        <v>510.09</v>
      </c>
      <c r="B26" s="21"/>
      <c r="C26" s="21" t="s">
        <v>691</v>
      </c>
      <c r="D26" s="21"/>
      <c r="E26" s="29">
        <v>930</v>
      </c>
    </row>
    <row r="27" spans="1:5" ht="14.25" x14ac:dyDescent="0.2">
      <c r="A27" s="23"/>
      <c r="B27" s="21"/>
      <c r="C27" s="21"/>
      <c r="D27" s="21"/>
      <c r="E27" s="29"/>
    </row>
    <row r="28" spans="1:5" ht="14.25" x14ac:dyDescent="0.2">
      <c r="A28" s="23">
        <v>510.12</v>
      </c>
      <c r="B28" s="21"/>
      <c r="C28" s="21" t="s">
        <v>692</v>
      </c>
      <c r="D28" s="21"/>
      <c r="E28" s="28">
        <v>600</v>
      </c>
    </row>
    <row r="30" spans="1:5" ht="14.25" x14ac:dyDescent="0.2">
      <c r="A30" s="28">
        <v>520.04</v>
      </c>
      <c r="C30" s="28" t="s">
        <v>718</v>
      </c>
      <c r="E30" s="29">
        <v>1900</v>
      </c>
    </row>
    <row r="31" spans="1:5" ht="14.25" x14ac:dyDescent="0.2">
      <c r="A31" s="28"/>
      <c r="C31" s="21" t="s">
        <v>606</v>
      </c>
      <c r="E31" s="35">
        <v>400</v>
      </c>
    </row>
    <row r="32" spans="1:5" ht="14.25" x14ac:dyDescent="0.2">
      <c r="A32" s="28"/>
      <c r="C32" s="21" t="s">
        <v>13</v>
      </c>
      <c r="E32" s="29">
        <f>SUM(E30:E31)</f>
        <v>2300</v>
      </c>
    </row>
    <row r="33" spans="1:5" ht="14.25" x14ac:dyDescent="0.2">
      <c r="A33" s="28"/>
      <c r="C33" s="21"/>
      <c r="E33" s="29"/>
    </row>
    <row r="34" spans="1:5" ht="14.25" x14ac:dyDescent="0.2">
      <c r="A34" s="28">
        <v>520.05999999999995</v>
      </c>
      <c r="C34" s="21" t="s">
        <v>231</v>
      </c>
      <c r="E34" s="29">
        <v>3000</v>
      </c>
    </row>
    <row r="35" spans="1:5" ht="14.25" x14ac:dyDescent="0.2">
      <c r="A35" s="28"/>
      <c r="C35" s="21"/>
      <c r="E35" s="29"/>
    </row>
    <row r="36" spans="1:5" ht="14.25" x14ac:dyDescent="0.2">
      <c r="A36" s="28">
        <v>520.07000000000005</v>
      </c>
      <c r="C36" s="21" t="s">
        <v>224</v>
      </c>
      <c r="E36" s="29">
        <v>1000</v>
      </c>
    </row>
    <row r="37" spans="1:5" ht="14.25" x14ac:dyDescent="0.2">
      <c r="A37" s="28"/>
      <c r="C37" s="21"/>
      <c r="E37" s="29"/>
    </row>
    <row r="38" spans="1:5" ht="14.25" x14ac:dyDescent="0.2">
      <c r="A38" s="28">
        <v>520.08000000000004</v>
      </c>
      <c r="C38" s="21" t="s">
        <v>545</v>
      </c>
      <c r="E38">
        <v>400</v>
      </c>
    </row>
    <row r="39" spans="1:5" ht="14.25" x14ac:dyDescent="0.2">
      <c r="A39" s="28"/>
      <c r="C39" s="21"/>
    </row>
    <row r="40" spans="1:5" ht="14.25" x14ac:dyDescent="0.2">
      <c r="A40" s="28">
        <v>520.09</v>
      </c>
      <c r="C40" s="28" t="s">
        <v>782</v>
      </c>
      <c r="E40" s="29">
        <v>15000</v>
      </c>
    </row>
    <row r="41" spans="1:5" ht="14.25" x14ac:dyDescent="0.2">
      <c r="A41" s="28"/>
      <c r="C41" s="28" t="s">
        <v>607</v>
      </c>
      <c r="E41" s="29">
        <v>45000</v>
      </c>
    </row>
    <row r="42" spans="1:5" ht="14.25" x14ac:dyDescent="0.2">
      <c r="A42" s="28"/>
      <c r="C42" s="28" t="s">
        <v>608</v>
      </c>
      <c r="E42" s="29">
        <v>12000</v>
      </c>
    </row>
    <row r="43" spans="1:5" ht="14.25" x14ac:dyDescent="0.2">
      <c r="A43" s="28"/>
      <c r="C43" s="28" t="s">
        <v>609</v>
      </c>
      <c r="E43" s="36">
        <v>17000</v>
      </c>
    </row>
    <row r="44" spans="1:5" ht="14.25" x14ac:dyDescent="0.2">
      <c r="A44" s="28"/>
      <c r="C44" s="28" t="s">
        <v>712</v>
      </c>
      <c r="E44" s="29">
        <f>SUM(E40:E43)</f>
        <v>89000</v>
      </c>
    </row>
    <row r="45" spans="1:5" ht="14.25" x14ac:dyDescent="0.2">
      <c r="A45" s="28"/>
      <c r="C45" s="28"/>
      <c r="E45" s="29"/>
    </row>
    <row r="46" spans="1:5" ht="14.25" x14ac:dyDescent="0.2">
      <c r="A46" s="28">
        <v>530.01</v>
      </c>
      <c r="C46" s="28" t="s">
        <v>610</v>
      </c>
      <c r="E46" s="29">
        <v>3000</v>
      </c>
    </row>
    <row r="47" spans="1:5" ht="14.25" x14ac:dyDescent="0.2">
      <c r="A47" s="28"/>
      <c r="C47" s="28" t="s">
        <v>611</v>
      </c>
      <c r="E47" s="36">
        <v>500</v>
      </c>
    </row>
    <row r="48" spans="1:5" ht="14.25" x14ac:dyDescent="0.2">
      <c r="A48" s="28"/>
      <c r="C48" s="28" t="s">
        <v>13</v>
      </c>
      <c r="E48" s="29">
        <f>SUM(E46:E47)</f>
        <v>3500</v>
      </c>
    </row>
    <row r="49" spans="1:5" ht="14.25" x14ac:dyDescent="0.2">
      <c r="A49" s="28"/>
      <c r="C49" s="28"/>
      <c r="E49" s="29"/>
    </row>
    <row r="50" spans="1:5" ht="14.25" x14ac:dyDescent="0.2">
      <c r="A50" s="28">
        <v>530.02</v>
      </c>
      <c r="C50" s="28" t="s">
        <v>612</v>
      </c>
      <c r="E50" s="29">
        <v>1200</v>
      </c>
    </row>
    <row r="51" spans="1:5" ht="14.25" x14ac:dyDescent="0.2">
      <c r="A51" s="28"/>
      <c r="C51" s="28" t="s">
        <v>613</v>
      </c>
      <c r="E51" s="36">
        <v>20800</v>
      </c>
    </row>
    <row r="52" spans="1:5" ht="14.25" x14ac:dyDescent="0.2">
      <c r="A52" s="28"/>
      <c r="C52" s="28" t="s">
        <v>13</v>
      </c>
      <c r="E52" s="29">
        <f>SUM(E50:E51)</f>
        <v>22000</v>
      </c>
    </row>
    <row r="53" spans="1:5" ht="14.25" x14ac:dyDescent="0.2">
      <c r="A53" s="28"/>
      <c r="C53" s="28"/>
      <c r="E53" s="29"/>
    </row>
    <row r="54" spans="1:5" ht="14.25" x14ac:dyDescent="0.2">
      <c r="A54" s="28">
        <v>530.04</v>
      </c>
      <c r="C54" s="28" t="s">
        <v>614</v>
      </c>
      <c r="E54" s="29">
        <v>12000</v>
      </c>
    </row>
    <row r="55" spans="1:5" ht="14.25" x14ac:dyDescent="0.2">
      <c r="A55" s="28"/>
      <c r="E55" s="29"/>
    </row>
    <row r="56" spans="1:5" ht="14.25" x14ac:dyDescent="0.2">
      <c r="A56" s="28">
        <v>530.11</v>
      </c>
      <c r="C56" s="28" t="s">
        <v>783</v>
      </c>
      <c r="E56" s="29">
        <v>228000</v>
      </c>
    </row>
    <row r="57" spans="1:5" ht="14.25" x14ac:dyDescent="0.2">
      <c r="A57" s="28"/>
      <c r="C57" s="28" t="s">
        <v>784</v>
      </c>
      <c r="E57" s="29">
        <f>40000+45000+55000</f>
        <v>140000</v>
      </c>
    </row>
    <row r="58" spans="1:5" ht="14.25" x14ac:dyDescent="0.2">
      <c r="A58" s="28"/>
      <c r="C58" s="28" t="s">
        <v>863</v>
      </c>
      <c r="E58" s="65">
        <v>32000</v>
      </c>
    </row>
    <row r="59" spans="1:5" ht="14.25" x14ac:dyDescent="0.2">
      <c r="C59" s="28" t="s">
        <v>13</v>
      </c>
      <c r="E59" s="29">
        <f>SUM(E56:E58)</f>
        <v>400000</v>
      </c>
    </row>
    <row r="61" spans="1:5" ht="14.25" x14ac:dyDescent="0.2">
      <c r="A61" s="23">
        <v>530.20000000000005</v>
      </c>
      <c r="B61" s="21"/>
      <c r="C61" s="21" t="s">
        <v>494</v>
      </c>
      <c r="D61" s="21"/>
      <c r="E61" s="22">
        <v>7000</v>
      </c>
    </row>
    <row r="62" spans="1:5" ht="14.25" x14ac:dyDescent="0.2">
      <c r="A62" s="23"/>
      <c r="B62" s="21"/>
      <c r="C62" s="21"/>
      <c r="D62" s="21"/>
      <c r="E62" s="22"/>
    </row>
    <row r="63" spans="1:5" ht="14.25" x14ac:dyDescent="0.2">
      <c r="A63" s="23">
        <v>540.01</v>
      </c>
      <c r="B63" s="21"/>
      <c r="C63" s="21" t="s">
        <v>381</v>
      </c>
      <c r="D63" s="21"/>
      <c r="E63" s="22">
        <v>5000</v>
      </c>
    </row>
    <row r="64" spans="1:5" ht="14.25" x14ac:dyDescent="0.2">
      <c r="A64" s="23"/>
      <c r="B64" s="21"/>
      <c r="C64" s="21"/>
      <c r="D64" s="21"/>
      <c r="E64" s="22"/>
    </row>
    <row r="65" spans="1:5" ht="14.25" x14ac:dyDescent="0.2">
      <c r="A65" s="23">
        <v>550.02</v>
      </c>
      <c r="B65" s="21"/>
      <c r="C65" s="21" t="s">
        <v>615</v>
      </c>
      <c r="D65" s="21"/>
      <c r="E65" s="44">
        <v>146000</v>
      </c>
    </row>
    <row r="66" spans="1:5" ht="14.25" x14ac:dyDescent="0.2">
      <c r="A66" s="23"/>
      <c r="B66" s="21"/>
      <c r="C66" s="21" t="s">
        <v>616</v>
      </c>
      <c r="D66" s="21"/>
      <c r="E66" s="22">
        <v>71150</v>
      </c>
    </row>
    <row r="67" spans="1:5" ht="14.25" x14ac:dyDescent="0.2">
      <c r="A67" s="23"/>
      <c r="B67" s="21"/>
      <c r="C67" s="21" t="s">
        <v>617</v>
      </c>
      <c r="D67" s="21"/>
      <c r="E67" s="22">
        <v>0</v>
      </c>
    </row>
    <row r="68" spans="1:5" ht="14.25" x14ac:dyDescent="0.2">
      <c r="A68" s="23"/>
      <c r="B68" s="21"/>
      <c r="C68" s="21" t="s">
        <v>618</v>
      </c>
      <c r="D68" s="21"/>
      <c r="E68" s="24">
        <v>32850</v>
      </c>
    </row>
    <row r="69" spans="1:5" ht="14.25" x14ac:dyDescent="0.2">
      <c r="A69" s="23"/>
      <c r="B69" s="21"/>
      <c r="C69" s="21" t="s">
        <v>13</v>
      </c>
      <c r="D69" s="21"/>
      <c r="E69" s="22">
        <f>SUM(E65:E68)</f>
        <v>250000</v>
      </c>
    </row>
    <row r="70" spans="1:5" ht="14.25" x14ac:dyDescent="0.2">
      <c r="A70" s="23"/>
      <c r="B70" s="21"/>
      <c r="C70" s="21"/>
      <c r="D70" s="21"/>
      <c r="E70" s="22"/>
    </row>
    <row r="71" spans="1:5" ht="14.25" x14ac:dyDescent="0.2">
      <c r="A71" s="23">
        <v>550.09</v>
      </c>
      <c r="B71" s="21"/>
      <c r="C71" s="21" t="s">
        <v>800</v>
      </c>
      <c r="D71" s="21"/>
      <c r="E71" s="44">
        <v>0</v>
      </c>
    </row>
    <row r="72" spans="1:5" ht="14.25" x14ac:dyDescent="0.2">
      <c r="A72" s="23"/>
      <c r="B72" s="21"/>
      <c r="C72" s="21"/>
      <c r="D72" s="21"/>
      <c r="E72" s="22"/>
    </row>
    <row r="73" spans="1:5" ht="14.25" x14ac:dyDescent="0.2">
      <c r="A73" s="23">
        <v>560.02</v>
      </c>
      <c r="B73" s="21"/>
      <c r="C73" s="21" t="s">
        <v>619</v>
      </c>
      <c r="D73" s="21"/>
      <c r="E73" s="22">
        <v>250</v>
      </c>
    </row>
    <row r="74" spans="1:5" ht="14.25" x14ac:dyDescent="0.2">
      <c r="A74" s="23"/>
      <c r="B74" s="21"/>
      <c r="C74" s="21" t="s">
        <v>620</v>
      </c>
      <c r="D74" s="21"/>
      <c r="E74" s="24">
        <v>250</v>
      </c>
    </row>
    <row r="75" spans="1:5" ht="14.25" x14ac:dyDescent="0.2">
      <c r="A75" s="23"/>
      <c r="B75" s="21"/>
      <c r="C75" s="21" t="s">
        <v>13</v>
      </c>
      <c r="D75" s="21"/>
      <c r="E75" s="22">
        <f>SUM(E73:E74)</f>
        <v>500</v>
      </c>
    </row>
    <row r="76" spans="1:5" ht="14.25" x14ac:dyDescent="0.2">
      <c r="A76" s="23"/>
      <c r="B76" s="21"/>
      <c r="C76" s="21"/>
      <c r="D76" s="21"/>
      <c r="E76" s="24"/>
    </row>
    <row r="77" spans="1:5" ht="14.25" x14ac:dyDescent="0.2">
      <c r="A77" s="23">
        <v>560.1</v>
      </c>
      <c r="B77" s="21"/>
      <c r="C77" s="21" t="s">
        <v>621</v>
      </c>
      <c r="D77" s="21"/>
      <c r="E77" s="22">
        <v>2000</v>
      </c>
    </row>
    <row r="78" spans="1:5" ht="14.25" x14ac:dyDescent="0.2">
      <c r="A78" s="23"/>
      <c r="B78" s="21"/>
      <c r="C78" s="21"/>
      <c r="D78" s="21"/>
      <c r="E78" s="22"/>
    </row>
    <row r="79" spans="1:5" ht="14.25" x14ac:dyDescent="0.2">
      <c r="A79" s="23">
        <v>580.01</v>
      </c>
      <c r="B79" s="21"/>
      <c r="C79" s="21" t="s">
        <v>807</v>
      </c>
      <c r="D79" s="21"/>
      <c r="E79" s="22">
        <v>10000</v>
      </c>
    </row>
    <row r="80" spans="1:5" ht="14.25" x14ac:dyDescent="0.2">
      <c r="A80" s="23"/>
      <c r="B80" s="21"/>
      <c r="C80" s="21" t="s">
        <v>808</v>
      </c>
      <c r="D80" s="21"/>
      <c r="E80" s="22"/>
    </row>
    <row r="81" spans="1:6" ht="14.25" x14ac:dyDescent="0.2">
      <c r="A81" s="23"/>
      <c r="B81" s="21"/>
      <c r="C81" s="21" t="s">
        <v>809</v>
      </c>
      <c r="D81" s="21"/>
      <c r="E81" s="22"/>
    </row>
    <row r="82" spans="1:6" ht="14.25" x14ac:dyDescent="0.2">
      <c r="A82" s="23"/>
      <c r="B82" s="21"/>
      <c r="C82" s="21"/>
      <c r="D82" s="21"/>
      <c r="E82" s="22"/>
    </row>
    <row r="83" spans="1:6" ht="14.25" x14ac:dyDescent="0.2">
      <c r="A83" s="23">
        <v>580.20000000000005</v>
      </c>
      <c r="B83" s="21"/>
      <c r="C83" s="21" t="s">
        <v>810</v>
      </c>
      <c r="D83" s="21"/>
      <c r="E83" s="22">
        <v>0</v>
      </c>
      <c r="F83" s="26" t="s">
        <v>834</v>
      </c>
    </row>
    <row r="84" spans="1:6" ht="14.25" x14ac:dyDescent="0.2">
      <c r="A84" s="23"/>
      <c r="B84" s="21"/>
      <c r="C84" s="21"/>
      <c r="D84" s="21"/>
      <c r="E84" s="22"/>
    </row>
    <row r="85" spans="1:6" ht="14.25" x14ac:dyDescent="0.2">
      <c r="A85" s="23">
        <v>590.01</v>
      </c>
      <c r="B85" s="21"/>
      <c r="C85" s="21" t="s">
        <v>622</v>
      </c>
      <c r="D85" s="21"/>
      <c r="E85" s="22">
        <v>2000</v>
      </c>
    </row>
    <row r="86" spans="1:6" ht="14.25" x14ac:dyDescent="0.2">
      <c r="A86" s="23"/>
      <c r="B86" s="21"/>
      <c r="C86" s="21"/>
      <c r="D86" s="21"/>
      <c r="E86" s="22"/>
    </row>
    <row r="87" spans="1:6" ht="14.25" x14ac:dyDescent="0.2">
      <c r="A87" s="23">
        <v>590.02</v>
      </c>
      <c r="B87" s="21"/>
      <c r="C87" s="21"/>
      <c r="D87" s="21"/>
      <c r="E87" s="22">
        <v>2000</v>
      </c>
    </row>
    <row r="88" spans="1:6" ht="14.25" x14ac:dyDescent="0.2">
      <c r="A88" s="23"/>
      <c r="B88" s="21"/>
      <c r="C88" s="21"/>
      <c r="D88" s="21"/>
      <c r="E88" s="22"/>
    </row>
    <row r="89" spans="1:6" ht="14.25" x14ac:dyDescent="0.2">
      <c r="A89" s="23"/>
      <c r="B89" s="21"/>
      <c r="C89" s="21"/>
      <c r="D89" s="21"/>
      <c r="E89" s="44">
        <v>0</v>
      </c>
      <c r="F89" s="26" t="s">
        <v>834</v>
      </c>
    </row>
    <row r="90" spans="1:6" ht="14.25" x14ac:dyDescent="0.2">
      <c r="A90" s="23"/>
      <c r="B90" s="21"/>
      <c r="C90" s="21"/>
      <c r="D90" s="21"/>
      <c r="E90" s="24">
        <v>0</v>
      </c>
    </row>
    <row r="91" spans="1:6" ht="14.25" x14ac:dyDescent="0.2">
      <c r="A91" s="23"/>
      <c r="B91" s="21"/>
      <c r="C91" s="21" t="s">
        <v>13</v>
      </c>
      <c r="D91" s="21"/>
      <c r="E91" s="22">
        <f>SUM(E87:E90)</f>
        <v>2000</v>
      </c>
    </row>
    <row r="92" spans="1:6" ht="14.25" x14ac:dyDescent="0.2">
      <c r="A92" s="23"/>
      <c r="B92" s="21"/>
      <c r="C92" s="21"/>
      <c r="D92" s="21"/>
      <c r="E92" s="22"/>
    </row>
    <row r="93" spans="1:6" ht="14.25" x14ac:dyDescent="0.2">
      <c r="A93" s="23">
        <v>590.03</v>
      </c>
      <c r="B93" s="21"/>
      <c r="C93" s="21" t="s">
        <v>785</v>
      </c>
      <c r="D93" s="21"/>
      <c r="E93" s="22">
        <v>7600</v>
      </c>
    </row>
    <row r="94" spans="1:6" ht="14.25" x14ac:dyDescent="0.2">
      <c r="A94" s="23"/>
      <c r="B94" s="21"/>
      <c r="C94" s="21"/>
      <c r="D94" s="21"/>
      <c r="E94" s="22"/>
    </row>
    <row r="95" spans="1:6" ht="14.25" x14ac:dyDescent="0.2">
      <c r="A95" s="23"/>
      <c r="B95" s="21"/>
      <c r="C95" s="21"/>
      <c r="D95" s="21"/>
      <c r="E95" s="22"/>
    </row>
    <row r="96" spans="1:6" ht="14.25" x14ac:dyDescent="0.2">
      <c r="A96" s="23"/>
      <c r="B96" s="21"/>
      <c r="C96" s="21"/>
      <c r="D96" s="21"/>
      <c r="E96" s="22"/>
    </row>
    <row r="97" spans="1:5" ht="14.25" x14ac:dyDescent="0.2">
      <c r="A97" s="23">
        <v>590.04</v>
      </c>
      <c r="B97" s="21"/>
      <c r="C97" s="21" t="s">
        <v>786</v>
      </c>
      <c r="D97" s="21"/>
      <c r="E97" s="22">
        <v>7500</v>
      </c>
    </row>
    <row r="98" spans="1:5" ht="14.25" x14ac:dyDescent="0.2">
      <c r="A98" s="23"/>
      <c r="B98" s="21"/>
      <c r="C98" s="21"/>
      <c r="D98" s="21"/>
      <c r="E98" s="22"/>
    </row>
    <row r="99" spans="1:5" ht="14.25" x14ac:dyDescent="0.2">
      <c r="A99" s="23">
        <v>620.04999999999995</v>
      </c>
      <c r="B99" s="21"/>
      <c r="C99" s="21" t="s">
        <v>493</v>
      </c>
      <c r="D99" s="21"/>
      <c r="E99" s="22">
        <v>300000</v>
      </c>
    </row>
    <row r="100" spans="1:5" ht="14.25" x14ac:dyDescent="0.2">
      <c r="A100" s="23"/>
      <c r="B100" s="21"/>
      <c r="C100" s="21"/>
      <c r="D100" s="21"/>
      <c r="E100" s="22"/>
    </row>
    <row r="102" spans="1:5" ht="14.25" x14ac:dyDescent="0.2">
      <c r="A102" s="51" t="s">
        <v>623</v>
      </c>
      <c r="B102" s="50"/>
      <c r="C102" s="50"/>
      <c r="D102" s="50"/>
      <c r="E102" s="44"/>
    </row>
    <row r="103" spans="1:5" ht="14.25" x14ac:dyDescent="0.2">
      <c r="A103" s="52"/>
      <c r="B103" s="50"/>
      <c r="C103" s="50"/>
      <c r="D103" s="50"/>
      <c r="E103" s="44"/>
    </row>
    <row r="104" spans="1:5" ht="14.25" x14ac:dyDescent="0.2">
      <c r="A104" s="52"/>
      <c r="B104" s="50" t="s">
        <v>624</v>
      </c>
      <c r="C104" s="50"/>
      <c r="D104" s="50"/>
      <c r="E104" s="44"/>
    </row>
    <row r="105" spans="1:5" ht="14.25" x14ac:dyDescent="0.2">
      <c r="A105" s="52"/>
      <c r="B105" s="50"/>
      <c r="C105" s="50"/>
      <c r="D105" s="50"/>
      <c r="E105" s="44"/>
    </row>
    <row r="106" spans="1:5" ht="14.25" x14ac:dyDescent="0.2">
      <c r="A106" s="52"/>
      <c r="B106" s="50" t="s">
        <v>625</v>
      </c>
      <c r="C106" s="50"/>
      <c r="D106" s="50"/>
      <c r="E106" s="44"/>
    </row>
    <row r="107" spans="1:5" ht="14.25" x14ac:dyDescent="0.2">
      <c r="A107" s="52"/>
      <c r="B107" s="50" t="s">
        <v>626</v>
      </c>
      <c r="C107" s="50"/>
      <c r="D107" s="50"/>
      <c r="E107" s="44"/>
    </row>
    <row r="108" spans="1:5" ht="14.25" x14ac:dyDescent="0.2">
      <c r="A108" s="52"/>
      <c r="B108" s="50"/>
      <c r="C108" s="50"/>
      <c r="D108" s="50"/>
      <c r="E108" s="44"/>
    </row>
    <row r="109" spans="1:5" ht="14.25" x14ac:dyDescent="0.2">
      <c r="A109" s="52"/>
      <c r="B109" s="50"/>
      <c r="C109" s="50"/>
      <c r="D109" s="50"/>
      <c r="E109" s="44"/>
    </row>
    <row r="110" spans="1:5" ht="14.25" x14ac:dyDescent="0.2">
      <c r="A110" s="23"/>
      <c r="B110" s="21"/>
      <c r="C110" s="21"/>
      <c r="D110" s="21"/>
      <c r="E110" s="22"/>
    </row>
  </sheetData>
  <printOptions headings="1" gridLines="1"/>
  <pageMargins left="0.7" right="0" top="0.75" bottom="0.75" header="0.3" footer="0.3"/>
  <pageSetup scale="77" orientation="portrait" r:id="rId1"/>
  <rowBreaks count="1" manualBreakCount="1">
    <brk id="4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D1" sqref="D1:D1048576"/>
    </sheetView>
  </sheetViews>
  <sheetFormatPr defaultRowHeight="12.75" x14ac:dyDescent="0.2"/>
  <cols>
    <col min="4" max="4" width="9.140625" hidden="1" customWidth="1"/>
    <col min="5" max="5" width="9.140625" customWidth="1"/>
    <col min="9" max="9" width="5.85546875" style="66" customWidth="1"/>
    <col min="10" max="10" width="12.28515625" customWidth="1"/>
  </cols>
  <sheetData>
    <row r="1" spans="1:13" x14ac:dyDescent="0.2">
      <c r="A1" t="s">
        <v>396</v>
      </c>
    </row>
    <row r="3" spans="1:13" x14ac:dyDescent="0.2">
      <c r="A3" t="s">
        <v>360</v>
      </c>
      <c r="B3" t="s">
        <v>416</v>
      </c>
    </row>
    <row r="4" spans="1:13" x14ac:dyDescent="0.2">
      <c r="A4" t="s">
        <v>362</v>
      </c>
      <c r="B4" s="26" t="s">
        <v>564</v>
      </c>
    </row>
    <row r="5" spans="1:13" x14ac:dyDescent="0.2">
      <c r="F5" s="27" t="s">
        <v>849</v>
      </c>
      <c r="G5" s="27"/>
      <c r="H5" s="27" t="s">
        <v>859</v>
      </c>
      <c r="J5" s="78" t="s">
        <v>937</v>
      </c>
    </row>
    <row r="6" spans="1:13" x14ac:dyDescent="0.2">
      <c r="A6" s="17" t="s">
        <v>397</v>
      </c>
      <c r="F6" s="18" t="s">
        <v>398</v>
      </c>
      <c r="G6" s="18"/>
      <c r="H6" s="18" t="s">
        <v>398</v>
      </c>
      <c r="J6" s="18" t="s">
        <v>399</v>
      </c>
      <c r="K6" s="83"/>
    </row>
    <row r="7" spans="1:13" x14ac:dyDescent="0.2">
      <c r="A7" s="26" t="s">
        <v>870</v>
      </c>
      <c r="F7" s="25">
        <f>(2080*30)/12</f>
        <v>5200</v>
      </c>
      <c r="G7" s="25"/>
      <c r="H7" s="25">
        <f>(2080*30.29)/12</f>
        <v>5250.2666666666664</v>
      </c>
      <c r="I7" s="25"/>
      <c r="J7" s="19">
        <f>SUM(H7*12)/3*2</f>
        <v>42002.133333333331</v>
      </c>
    </row>
    <row r="8" spans="1:13" x14ac:dyDescent="0.2">
      <c r="B8" s="84" t="s">
        <v>981</v>
      </c>
      <c r="C8" s="84"/>
      <c r="D8" s="84"/>
      <c r="E8" s="84"/>
      <c r="F8" s="84"/>
      <c r="G8" s="84"/>
      <c r="I8"/>
    </row>
    <row r="9" spans="1:13" x14ac:dyDescent="0.2">
      <c r="I9"/>
    </row>
    <row r="10" spans="1:13" x14ac:dyDescent="0.2">
      <c r="A10" t="s">
        <v>568</v>
      </c>
      <c r="F10" s="25"/>
      <c r="G10" s="25"/>
      <c r="H10" s="25"/>
      <c r="J10" s="25"/>
    </row>
    <row r="11" spans="1:13" x14ac:dyDescent="0.2">
      <c r="F11" s="25"/>
      <c r="G11" s="25"/>
      <c r="H11" s="25"/>
      <c r="J11" s="25"/>
    </row>
    <row r="12" spans="1:13" x14ac:dyDescent="0.2">
      <c r="A12" t="s">
        <v>1061</v>
      </c>
      <c r="D12" t="s">
        <v>1062</v>
      </c>
      <c r="F12" s="25">
        <f>(2080*27.87)/12</f>
        <v>4830.8</v>
      </c>
      <c r="G12" s="25"/>
      <c r="H12" s="25">
        <f>(2080*20)/12</f>
        <v>3466.6666666666665</v>
      </c>
      <c r="J12" s="25">
        <f>SUM(H12*12)</f>
        <v>41600</v>
      </c>
      <c r="M12" s="26"/>
    </row>
    <row r="13" spans="1:13" x14ac:dyDescent="0.2">
      <c r="F13" s="25"/>
      <c r="G13" s="25"/>
      <c r="H13" s="25"/>
      <c r="J13" s="25"/>
    </row>
    <row r="14" spans="1:13" x14ac:dyDescent="0.2">
      <c r="A14" t="s">
        <v>984</v>
      </c>
      <c r="F14" s="46">
        <f>(2080*15.54)/12</f>
        <v>2693.6</v>
      </c>
      <c r="G14" s="25"/>
      <c r="H14" s="46">
        <f>(2080*17.54)/12</f>
        <v>3040.2666666666664</v>
      </c>
      <c r="J14" s="25">
        <f>SUM(H14*12)</f>
        <v>36483.199999999997</v>
      </c>
    </row>
    <row r="15" spans="1:13" x14ac:dyDescent="0.2">
      <c r="F15" s="25"/>
      <c r="G15" s="25"/>
      <c r="H15" s="25"/>
      <c r="J15" s="25"/>
    </row>
    <row r="16" spans="1:13" x14ac:dyDescent="0.2">
      <c r="A16" t="s">
        <v>984</v>
      </c>
      <c r="D16" t="s">
        <v>985</v>
      </c>
      <c r="F16" s="25">
        <f>(2080*16.37)/12</f>
        <v>2837.4666666666667</v>
      </c>
      <c r="G16" s="25"/>
      <c r="H16" s="25">
        <f>(2080*16.87)/12</f>
        <v>2924.1333333333332</v>
      </c>
      <c r="J16" s="25">
        <f t="shared" ref="J16:J36" si="0">SUM(H16*12)</f>
        <v>35089.599999999999</v>
      </c>
    </row>
    <row r="17" spans="1:10" x14ac:dyDescent="0.2">
      <c r="F17" s="25"/>
      <c r="G17" s="25"/>
      <c r="H17" s="25"/>
      <c r="J17" s="25"/>
    </row>
    <row r="18" spans="1:10" x14ac:dyDescent="0.2">
      <c r="A18" t="s">
        <v>984</v>
      </c>
      <c r="D18" t="s">
        <v>986</v>
      </c>
      <c r="F18" s="25">
        <f>(2080*14)/12</f>
        <v>2426.6666666666665</v>
      </c>
      <c r="G18" s="25"/>
      <c r="H18" s="25">
        <f>(2080*15.5)/12</f>
        <v>2686.6666666666665</v>
      </c>
      <c r="J18" s="25">
        <f t="shared" si="0"/>
        <v>32240</v>
      </c>
    </row>
    <row r="19" spans="1:10" x14ac:dyDescent="0.2">
      <c r="F19" s="25"/>
      <c r="G19" s="25"/>
      <c r="H19" s="25"/>
      <c r="J19" s="25"/>
    </row>
    <row r="20" spans="1:10" x14ac:dyDescent="0.2">
      <c r="A20" t="s">
        <v>994</v>
      </c>
      <c r="D20" t="s">
        <v>987</v>
      </c>
      <c r="F20" s="25">
        <f>(2080*14.26)/12</f>
        <v>2471.7333333333331</v>
      </c>
      <c r="G20" s="25"/>
      <c r="H20" s="25">
        <f>(2080*14.51)/12</f>
        <v>2515.0666666666666</v>
      </c>
      <c r="J20" s="25">
        <f t="shared" si="0"/>
        <v>30180.799999999999</v>
      </c>
    </row>
    <row r="21" spans="1:10" x14ac:dyDescent="0.2">
      <c r="F21" s="25" t="s">
        <v>15</v>
      </c>
      <c r="G21" s="25"/>
      <c r="H21" s="25" t="s">
        <v>15</v>
      </c>
      <c r="J21" s="25"/>
    </row>
    <row r="22" spans="1:10" x14ac:dyDescent="0.2">
      <c r="A22" t="s">
        <v>994</v>
      </c>
      <c r="D22" t="s">
        <v>988</v>
      </c>
      <c r="F22" s="25">
        <f>(2080*14.78)/12</f>
        <v>2561.8666666666663</v>
      </c>
      <c r="G22" s="25"/>
      <c r="H22" s="25">
        <f>(2080*15.03)/12</f>
        <v>2605.1999999999998</v>
      </c>
      <c r="J22" s="25">
        <f t="shared" si="0"/>
        <v>31262.399999999998</v>
      </c>
    </row>
    <row r="23" spans="1:10" x14ac:dyDescent="0.2">
      <c r="F23" s="25"/>
      <c r="G23" s="25"/>
      <c r="H23" s="25"/>
      <c r="J23" s="25"/>
    </row>
    <row r="24" spans="1:10" x14ac:dyDescent="0.2">
      <c r="A24" s="26" t="s">
        <v>994</v>
      </c>
      <c r="D24" t="s">
        <v>989</v>
      </c>
      <c r="F24" s="43">
        <f>(2080*13.77)/12</f>
        <v>2386.7999999999997</v>
      </c>
      <c r="G24" s="25"/>
      <c r="H24" s="43">
        <f>(2080*14.27)/12</f>
        <v>2473.4666666666667</v>
      </c>
      <c r="J24" s="25">
        <f t="shared" si="0"/>
        <v>29681.599999999999</v>
      </c>
    </row>
    <row r="25" spans="1:10" x14ac:dyDescent="0.2">
      <c r="F25" s="25"/>
      <c r="G25" s="25"/>
      <c r="H25" s="25"/>
      <c r="J25" s="25"/>
    </row>
    <row r="26" spans="1:10" x14ac:dyDescent="0.2">
      <c r="A26" t="s">
        <v>995</v>
      </c>
      <c r="D26" t="s">
        <v>990</v>
      </c>
      <c r="F26" s="25">
        <f>(2080*13.77)/12</f>
        <v>2386.7999999999997</v>
      </c>
      <c r="G26" s="25"/>
      <c r="H26" s="25">
        <f>(2080*14.02)/12</f>
        <v>2430.1333333333332</v>
      </c>
      <c r="J26" s="25">
        <f t="shared" si="0"/>
        <v>29161.599999999999</v>
      </c>
    </row>
    <row r="27" spans="1:10" x14ac:dyDescent="0.2">
      <c r="F27" s="25"/>
      <c r="G27" s="25"/>
      <c r="H27" s="25"/>
      <c r="J27" s="25"/>
    </row>
    <row r="28" spans="1:10" x14ac:dyDescent="0.2">
      <c r="A28" s="26" t="s">
        <v>982</v>
      </c>
      <c r="D28" t="s">
        <v>991</v>
      </c>
      <c r="F28" s="25">
        <f>(1080*2.16666666666667)*1.015</f>
        <v>2375.1000000000035</v>
      </c>
      <c r="G28" s="25"/>
      <c r="H28" s="25">
        <f>(2080*14)/12</f>
        <v>2426.6666666666665</v>
      </c>
      <c r="J28" s="25">
        <f t="shared" si="0"/>
        <v>29120</v>
      </c>
    </row>
    <row r="29" spans="1:10" x14ac:dyDescent="0.2">
      <c r="F29" s="25"/>
      <c r="G29" s="25"/>
      <c r="H29" s="25"/>
      <c r="J29" s="25"/>
    </row>
    <row r="30" spans="1:10" x14ac:dyDescent="0.2">
      <c r="A30" s="26" t="s">
        <v>995</v>
      </c>
      <c r="D30" t="s">
        <v>992</v>
      </c>
      <c r="F30" s="46">
        <f>(2080*19.09)/12</f>
        <v>3308.9333333333329</v>
      </c>
      <c r="G30" s="25"/>
      <c r="H30" s="46">
        <f>(2080*14)/12</f>
        <v>2426.6666666666665</v>
      </c>
      <c r="J30" s="25">
        <f t="shared" si="0"/>
        <v>29120</v>
      </c>
    </row>
    <row r="31" spans="1:10" x14ac:dyDescent="0.2">
      <c r="F31" s="25"/>
      <c r="G31" s="25"/>
      <c r="H31" s="25"/>
      <c r="J31" s="25"/>
    </row>
    <row r="32" spans="1:10" x14ac:dyDescent="0.2">
      <c r="A32" s="26"/>
      <c r="F32" s="25"/>
      <c r="G32" s="25"/>
      <c r="H32" s="25"/>
      <c r="J32" s="25">
        <f t="shared" si="0"/>
        <v>0</v>
      </c>
    </row>
    <row r="33" spans="1:10" x14ac:dyDescent="0.2">
      <c r="F33" s="25"/>
      <c r="G33" s="25"/>
      <c r="H33" s="25"/>
      <c r="J33" s="25"/>
    </row>
    <row r="34" spans="1:10" x14ac:dyDescent="0.2">
      <c r="A34" s="26" t="s">
        <v>1055</v>
      </c>
      <c r="D34" t="s">
        <v>993</v>
      </c>
      <c r="F34" s="25">
        <f>(2080*14)/12</f>
        <v>2426.6666666666665</v>
      </c>
      <c r="G34" s="25"/>
      <c r="H34" s="25">
        <f>(2080*14)/12</f>
        <v>2426.6666666666665</v>
      </c>
      <c r="J34" s="25">
        <f t="shared" si="0"/>
        <v>29120</v>
      </c>
    </row>
    <row r="35" spans="1:10" x14ac:dyDescent="0.2">
      <c r="F35" s="25"/>
      <c r="G35" s="25"/>
      <c r="H35" s="25"/>
      <c r="J35" s="25"/>
    </row>
    <row r="36" spans="1:10" x14ac:dyDescent="0.2">
      <c r="A36" t="s">
        <v>983</v>
      </c>
      <c r="F36" s="25">
        <f>(2080*16.89)/12</f>
        <v>2927.6000000000004</v>
      </c>
      <c r="G36" s="25"/>
      <c r="H36" s="25">
        <f>(2080*15)/12</f>
        <v>2600</v>
      </c>
      <c r="J36" s="25">
        <f t="shared" si="0"/>
        <v>31200</v>
      </c>
    </row>
    <row r="37" spans="1:10" x14ac:dyDescent="0.2">
      <c r="F37" s="25"/>
      <c r="G37" s="25"/>
      <c r="H37" s="25"/>
      <c r="J37" s="25"/>
    </row>
    <row r="38" spans="1:10" x14ac:dyDescent="0.2">
      <c r="A38" t="s">
        <v>426</v>
      </c>
      <c r="F38" s="25"/>
      <c r="G38" s="25"/>
      <c r="H38" s="25"/>
      <c r="J38" s="46">
        <v>52000</v>
      </c>
    </row>
    <row r="39" spans="1:10" x14ac:dyDescent="0.2">
      <c r="F39" s="25"/>
      <c r="G39" s="25"/>
      <c r="H39" s="25"/>
      <c r="J39" s="25"/>
    </row>
    <row r="40" spans="1:10" x14ac:dyDescent="0.2">
      <c r="A40" t="s">
        <v>403</v>
      </c>
      <c r="F40" s="25"/>
      <c r="G40" s="25"/>
      <c r="H40" s="25"/>
      <c r="J40" s="25">
        <f>SUM(J7:J39)</f>
        <v>478261.33333333326</v>
      </c>
    </row>
    <row r="41" spans="1:10" x14ac:dyDescent="0.2">
      <c r="F41" s="25"/>
      <c r="G41" s="25"/>
      <c r="H41" s="25"/>
      <c r="J41" s="25"/>
    </row>
    <row r="42" spans="1:10" x14ac:dyDescent="0.2">
      <c r="F42" s="25"/>
      <c r="G42" s="25"/>
      <c r="H42" s="25"/>
      <c r="J42" s="25"/>
    </row>
    <row r="43" spans="1:10" x14ac:dyDescent="0.2">
      <c r="F43" s="25"/>
      <c r="G43" s="25"/>
      <c r="H43" s="25"/>
      <c r="J43" s="25"/>
    </row>
    <row r="44" spans="1:10" x14ac:dyDescent="0.2">
      <c r="F44" s="25"/>
      <c r="G44" s="25"/>
      <c r="H44" s="25"/>
      <c r="J44" s="25"/>
    </row>
    <row r="45" spans="1:10" x14ac:dyDescent="0.2">
      <c r="F45" s="25"/>
      <c r="G45" s="25"/>
      <c r="H45" s="25"/>
      <c r="J45" s="25"/>
    </row>
    <row r="46" spans="1:10" x14ac:dyDescent="0.2">
      <c r="J46" s="25"/>
    </row>
    <row r="47" spans="1:10" x14ac:dyDescent="0.2">
      <c r="J47" s="2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3"/>
  <sheetViews>
    <sheetView topLeftCell="A71" zoomScaleNormal="100" workbookViewId="0">
      <selection activeCell="C97" sqref="C97"/>
    </sheetView>
  </sheetViews>
  <sheetFormatPr defaultRowHeight="12.75" x14ac:dyDescent="0.2"/>
  <cols>
    <col min="3" max="3" width="47.85546875" customWidth="1"/>
    <col min="4" max="4" width="7.42578125" customWidth="1"/>
    <col min="5" max="5" width="11.28515625" bestFit="1" customWidth="1"/>
    <col min="6" max="6" width="11.42578125" customWidth="1"/>
  </cols>
  <sheetData>
    <row r="2" spans="1:8" x14ac:dyDescent="0.2">
      <c r="A2" s="9" t="s">
        <v>359</v>
      </c>
      <c r="B2" s="9"/>
      <c r="C2" s="9"/>
      <c r="D2" s="9"/>
      <c r="E2" s="9"/>
    </row>
    <row r="3" spans="1:8" x14ac:dyDescent="0.2">
      <c r="A3" s="9"/>
      <c r="B3" s="9"/>
      <c r="C3" s="9"/>
      <c r="D3" s="9"/>
      <c r="E3" s="9"/>
    </row>
    <row r="4" spans="1:8" ht="14.25" x14ac:dyDescent="0.2">
      <c r="A4" s="9" t="s">
        <v>360</v>
      </c>
      <c r="B4" s="9"/>
      <c r="C4" s="21" t="s">
        <v>418</v>
      </c>
      <c r="D4" s="9"/>
      <c r="E4" s="9"/>
    </row>
    <row r="5" spans="1:8" ht="14.25" x14ac:dyDescent="0.2">
      <c r="A5" s="9" t="s">
        <v>362</v>
      </c>
      <c r="B5" s="9"/>
      <c r="C5" s="21" t="s">
        <v>564</v>
      </c>
      <c r="D5" s="9"/>
      <c r="E5" s="26" t="s">
        <v>865</v>
      </c>
    </row>
    <row r="6" spans="1:8" x14ac:dyDescent="0.2">
      <c r="A6" s="9"/>
      <c r="B6" s="9"/>
      <c r="C6" s="9"/>
      <c r="D6" s="9"/>
      <c r="E6" s="62" t="s">
        <v>859</v>
      </c>
    </row>
    <row r="7" spans="1:8" ht="14.25" x14ac:dyDescent="0.2">
      <c r="A7" s="10" t="s">
        <v>364</v>
      </c>
      <c r="B7" s="9"/>
      <c r="C7" s="32" t="s">
        <v>365</v>
      </c>
      <c r="D7" s="9"/>
      <c r="E7" s="32" t="s">
        <v>366</v>
      </c>
    </row>
    <row r="9" spans="1:8" ht="14.25" x14ac:dyDescent="0.2">
      <c r="A9" s="28">
        <v>510.01</v>
      </c>
      <c r="B9" s="28"/>
      <c r="C9" s="21" t="s">
        <v>575</v>
      </c>
      <c r="D9" s="28"/>
      <c r="E9" s="30">
        <f>250*12</f>
        <v>3000</v>
      </c>
      <c r="H9" s="26"/>
    </row>
    <row r="10" spans="1:8" ht="14.25" x14ac:dyDescent="0.2">
      <c r="A10" s="28"/>
      <c r="B10" s="28"/>
      <c r="C10" s="28"/>
      <c r="D10" s="28"/>
      <c r="E10" s="30"/>
    </row>
    <row r="11" spans="1:8" ht="14.25" x14ac:dyDescent="0.2">
      <c r="A11" s="21">
        <v>510.03</v>
      </c>
      <c r="B11" s="21"/>
      <c r="C11" s="21" t="s">
        <v>370</v>
      </c>
      <c r="D11" s="21"/>
      <c r="E11" s="30">
        <v>1200</v>
      </c>
    </row>
    <row r="12" spans="1:8" ht="14.25" x14ac:dyDescent="0.2">
      <c r="A12" s="21"/>
      <c r="B12" s="21"/>
      <c r="C12" s="21" t="s">
        <v>640</v>
      </c>
      <c r="D12" s="21"/>
      <c r="E12" s="38">
        <v>7000</v>
      </c>
    </row>
    <row r="13" spans="1:8" ht="14.25" x14ac:dyDescent="0.2">
      <c r="A13" s="21"/>
      <c r="B13" s="21"/>
      <c r="C13" s="21" t="s">
        <v>13</v>
      </c>
      <c r="D13" s="21"/>
      <c r="E13" s="30">
        <f>SUM(E11:E12)</f>
        <v>8200</v>
      </c>
    </row>
    <row r="14" spans="1:8" ht="14.25" x14ac:dyDescent="0.2">
      <c r="A14" s="21"/>
      <c r="B14" s="21"/>
      <c r="C14" s="21"/>
      <c r="D14" s="21"/>
      <c r="E14" s="30"/>
    </row>
    <row r="15" spans="1:8" ht="14.25" x14ac:dyDescent="0.2">
      <c r="A15" s="23">
        <v>510.05</v>
      </c>
      <c r="B15" s="21"/>
      <c r="C15" s="21" t="s">
        <v>734</v>
      </c>
      <c r="D15" s="21"/>
      <c r="E15" s="30">
        <f>7928*12</f>
        <v>95136</v>
      </c>
    </row>
    <row r="16" spans="1:8" ht="14.25" x14ac:dyDescent="0.2">
      <c r="A16" s="23"/>
      <c r="B16" s="21"/>
      <c r="C16" s="21" t="s">
        <v>666</v>
      </c>
      <c r="D16" s="21"/>
      <c r="E16" s="30">
        <f>288*12</f>
        <v>3456</v>
      </c>
    </row>
    <row r="17" spans="1:5" ht="14.25" x14ac:dyDescent="0.2">
      <c r="A17" s="23"/>
      <c r="B17" s="21"/>
      <c r="C17" s="21" t="s">
        <v>525</v>
      </c>
      <c r="D17" s="21"/>
      <c r="E17" s="30">
        <f>(2704)*1.015</f>
        <v>2744.56</v>
      </c>
    </row>
    <row r="18" spans="1:5" ht="14.25" x14ac:dyDescent="0.2">
      <c r="A18" s="23"/>
      <c r="B18" s="21"/>
      <c r="C18" s="21" t="s">
        <v>667</v>
      </c>
      <c r="D18" s="21"/>
      <c r="E18" s="30">
        <f>36*12</f>
        <v>432</v>
      </c>
    </row>
    <row r="19" spans="1:5" ht="14.25" x14ac:dyDescent="0.2">
      <c r="A19" s="23"/>
      <c r="B19" s="21"/>
      <c r="C19" s="21" t="s">
        <v>668</v>
      </c>
      <c r="D19" s="21"/>
      <c r="E19" s="30">
        <f>55*12</f>
        <v>660</v>
      </c>
    </row>
    <row r="20" spans="1:5" ht="14.25" x14ac:dyDescent="0.2">
      <c r="A20" s="23"/>
      <c r="B20" s="21"/>
      <c r="C20" s="21" t="s">
        <v>369</v>
      </c>
      <c r="D20" s="21"/>
      <c r="E20" s="30">
        <f>SUM(E15:E19)</f>
        <v>102428.56</v>
      </c>
    </row>
    <row r="21" spans="1:5" ht="14.25" x14ac:dyDescent="0.2">
      <c r="A21" s="23"/>
      <c r="B21" s="21"/>
      <c r="C21" s="21"/>
      <c r="D21" s="21"/>
      <c r="E21" s="30"/>
    </row>
    <row r="22" spans="1:5" ht="14.25" x14ac:dyDescent="0.2">
      <c r="A22" s="23">
        <v>510.06</v>
      </c>
      <c r="B22" s="21"/>
      <c r="C22" s="21" t="s">
        <v>373</v>
      </c>
      <c r="D22" s="21"/>
      <c r="E22" s="30">
        <f>+'Personnel Sched-W&amp;S O&amp;M '!J40*0.0765</f>
        <v>36586.991999999991</v>
      </c>
    </row>
    <row r="23" spans="1:5" ht="14.25" x14ac:dyDescent="0.2">
      <c r="A23" s="23"/>
      <c r="B23" s="21"/>
      <c r="C23" s="21"/>
      <c r="D23" s="21"/>
      <c r="E23" s="30"/>
    </row>
    <row r="24" spans="1:5" ht="14.25" x14ac:dyDescent="0.2">
      <c r="A24" s="23">
        <v>510.07</v>
      </c>
      <c r="B24" s="21"/>
      <c r="C24" s="21" t="s">
        <v>860</v>
      </c>
      <c r="D24" s="21"/>
      <c r="E24" s="30">
        <f>+'Personnel Sched-W&amp;S O&amp;M '!J40*0.0502</f>
        <v>24008.71893333333</v>
      </c>
    </row>
    <row r="25" spans="1:5" ht="14.25" x14ac:dyDescent="0.2">
      <c r="A25" s="23"/>
      <c r="B25" s="21"/>
      <c r="C25" s="21"/>
      <c r="D25" s="21"/>
      <c r="E25" s="30"/>
    </row>
    <row r="26" spans="1:5" ht="14.25" x14ac:dyDescent="0.2">
      <c r="A26" s="23">
        <v>510.08</v>
      </c>
      <c r="B26" s="21"/>
      <c r="C26" s="21" t="s">
        <v>789</v>
      </c>
      <c r="D26" s="21"/>
      <c r="E26" s="53">
        <f>(12846)*1.015</f>
        <v>13038.689999999999</v>
      </c>
    </row>
    <row r="27" spans="1:5" ht="14.25" x14ac:dyDescent="0.2">
      <c r="A27" s="23"/>
      <c r="B27" s="21"/>
      <c r="C27" s="21" t="s">
        <v>567</v>
      </c>
      <c r="D27" s="21"/>
      <c r="E27" s="38">
        <f>(89)*1.015</f>
        <v>90.334999999999994</v>
      </c>
    </row>
    <row r="28" spans="1:5" ht="14.25" x14ac:dyDescent="0.2">
      <c r="A28" s="23"/>
      <c r="B28" s="21"/>
      <c r="C28" s="21" t="s">
        <v>13</v>
      </c>
      <c r="D28" s="21"/>
      <c r="E28" s="30">
        <f>SUM(E26:E27)</f>
        <v>13129.024999999998</v>
      </c>
    </row>
    <row r="29" spans="1:5" ht="14.25" x14ac:dyDescent="0.2">
      <c r="A29" s="23"/>
      <c r="B29" s="21"/>
      <c r="C29" s="21"/>
      <c r="D29" s="21"/>
      <c r="E29" s="30"/>
    </row>
    <row r="30" spans="1:5" ht="14.25" x14ac:dyDescent="0.2">
      <c r="A30" s="23"/>
      <c r="B30" s="21"/>
      <c r="C30" s="21"/>
      <c r="D30" s="21"/>
      <c r="E30" s="30"/>
    </row>
    <row r="31" spans="1:5" ht="14.25" x14ac:dyDescent="0.2">
      <c r="A31" s="23">
        <v>510.09</v>
      </c>
      <c r="B31" s="21"/>
      <c r="C31" s="21" t="s">
        <v>1021</v>
      </c>
      <c r="D31" s="21"/>
      <c r="E31" s="30">
        <v>3000</v>
      </c>
    </row>
    <row r="32" spans="1:5" ht="14.25" x14ac:dyDescent="0.2">
      <c r="B32" s="21"/>
      <c r="C32" s="21" t="s">
        <v>691</v>
      </c>
      <c r="D32" s="21"/>
      <c r="E32" s="81">
        <v>4000</v>
      </c>
    </row>
    <row r="33" spans="1:5" ht="14.25" x14ac:dyDescent="0.2">
      <c r="A33" s="23"/>
      <c r="B33" s="21"/>
      <c r="C33" s="21"/>
      <c r="D33" s="21"/>
      <c r="E33" s="30">
        <f>SUM(E31:E32)</f>
        <v>7000</v>
      </c>
    </row>
    <row r="34" spans="1:5" ht="14.25" x14ac:dyDescent="0.2">
      <c r="A34" s="23"/>
      <c r="B34" s="21"/>
      <c r="C34" s="21"/>
      <c r="D34" s="21"/>
      <c r="E34" s="30"/>
    </row>
    <row r="35" spans="1:5" ht="14.25" x14ac:dyDescent="0.2">
      <c r="A35" s="23">
        <v>510.12</v>
      </c>
      <c r="B35" s="21"/>
      <c r="C35" s="21" t="s">
        <v>692</v>
      </c>
      <c r="D35" s="21"/>
      <c r="E35" s="53">
        <v>1650</v>
      </c>
    </row>
    <row r="36" spans="1:5" ht="14.25" x14ac:dyDescent="0.2">
      <c r="A36" s="28"/>
      <c r="B36" s="28"/>
      <c r="C36" s="28"/>
      <c r="D36" s="28"/>
      <c r="E36" s="30"/>
    </row>
    <row r="37" spans="1:5" ht="14.25" x14ac:dyDescent="0.2">
      <c r="A37" s="28">
        <v>520.04</v>
      </c>
      <c r="B37" s="28"/>
      <c r="C37" s="28" t="s">
        <v>835</v>
      </c>
      <c r="D37" s="28"/>
      <c r="E37" s="30">
        <v>12000</v>
      </c>
    </row>
    <row r="38" spans="1:5" ht="14.25" x14ac:dyDescent="0.2">
      <c r="A38" s="28"/>
      <c r="B38" s="28"/>
      <c r="C38" s="28" t="s">
        <v>654</v>
      </c>
      <c r="D38" s="28"/>
      <c r="E38" s="54">
        <v>8000</v>
      </c>
    </row>
    <row r="39" spans="1:5" ht="14.25" x14ac:dyDescent="0.2">
      <c r="A39" s="28"/>
      <c r="B39" s="28"/>
      <c r="C39" s="28" t="s">
        <v>13</v>
      </c>
      <c r="D39" s="28"/>
      <c r="E39" s="30">
        <f>SUM(E37:E38)</f>
        <v>20000</v>
      </c>
    </row>
    <row r="40" spans="1:5" ht="14.25" x14ac:dyDescent="0.2">
      <c r="A40" s="28"/>
      <c r="B40" s="28"/>
      <c r="C40" s="28"/>
      <c r="D40" s="28"/>
      <c r="E40" s="30"/>
    </row>
    <row r="41" spans="1:5" ht="14.25" x14ac:dyDescent="0.2">
      <c r="A41" s="28">
        <v>520.09</v>
      </c>
      <c r="B41" s="28"/>
      <c r="C41" s="28" t="s">
        <v>655</v>
      </c>
      <c r="D41" s="28"/>
      <c r="E41" s="30">
        <v>5000</v>
      </c>
    </row>
    <row r="42" spans="1:5" ht="14.25" x14ac:dyDescent="0.2">
      <c r="A42" s="28"/>
      <c r="B42" s="28"/>
      <c r="C42" s="28"/>
      <c r="D42" s="28"/>
      <c r="E42" s="30"/>
    </row>
    <row r="43" spans="1:5" ht="14.25" x14ac:dyDescent="0.2">
      <c r="A43" s="28">
        <v>530.01</v>
      </c>
      <c r="B43" s="28"/>
      <c r="C43" s="28" t="s">
        <v>790</v>
      </c>
      <c r="D43" s="28"/>
      <c r="E43" s="30">
        <v>6000</v>
      </c>
    </row>
    <row r="44" spans="1:5" ht="14.25" x14ac:dyDescent="0.2">
      <c r="A44" s="28"/>
      <c r="B44" s="28"/>
      <c r="C44" s="28" t="s">
        <v>791</v>
      </c>
      <c r="D44" s="28"/>
      <c r="E44" s="30">
        <v>5000</v>
      </c>
    </row>
    <row r="45" spans="1:5" ht="14.25" x14ac:dyDescent="0.2">
      <c r="A45" s="28"/>
      <c r="B45" s="28"/>
      <c r="C45" s="28" t="s">
        <v>836</v>
      </c>
      <c r="D45" s="28"/>
      <c r="E45" s="54">
        <v>5000</v>
      </c>
    </row>
    <row r="46" spans="1:5" ht="14.25" x14ac:dyDescent="0.2">
      <c r="A46" s="28"/>
      <c r="B46" s="28"/>
      <c r="C46" s="28" t="s">
        <v>13</v>
      </c>
      <c r="D46" s="28"/>
      <c r="E46" s="30">
        <f>SUM(E43:E45)</f>
        <v>16000</v>
      </c>
    </row>
    <row r="47" spans="1:5" ht="14.25" x14ac:dyDescent="0.2">
      <c r="A47" s="28"/>
      <c r="B47" s="28"/>
      <c r="C47" s="28"/>
      <c r="D47" s="28"/>
      <c r="E47" s="30"/>
    </row>
    <row r="48" spans="1:5" ht="14.25" x14ac:dyDescent="0.2">
      <c r="A48" s="28">
        <v>530.02</v>
      </c>
      <c r="B48" s="28"/>
      <c r="C48" s="28" t="s">
        <v>792</v>
      </c>
      <c r="D48" s="28"/>
      <c r="E48" s="30">
        <v>1800</v>
      </c>
    </row>
    <row r="49" spans="1:5" ht="14.25" x14ac:dyDescent="0.2">
      <c r="A49" s="28"/>
      <c r="B49" s="28"/>
      <c r="C49" s="28" t="s">
        <v>613</v>
      </c>
      <c r="D49" s="28"/>
      <c r="E49" s="38">
        <v>1700</v>
      </c>
    </row>
    <row r="50" spans="1:5" ht="14.25" x14ac:dyDescent="0.2">
      <c r="A50" s="28"/>
      <c r="B50" s="28"/>
      <c r="C50" s="28" t="s">
        <v>13</v>
      </c>
      <c r="D50" s="28"/>
      <c r="E50" s="30">
        <f>SUM(E48:E49)</f>
        <v>3500</v>
      </c>
    </row>
    <row r="51" spans="1:5" ht="14.25" x14ac:dyDescent="0.2">
      <c r="A51" s="28"/>
      <c r="B51" s="28"/>
      <c r="C51" s="28"/>
      <c r="D51" s="28"/>
      <c r="E51" s="30"/>
    </row>
    <row r="52" spans="1:5" ht="14.25" x14ac:dyDescent="0.2">
      <c r="A52" s="28">
        <v>530.04</v>
      </c>
      <c r="B52" s="28"/>
      <c r="C52" s="28" t="s">
        <v>614</v>
      </c>
      <c r="D52" s="28"/>
      <c r="E52" s="30">
        <v>3500</v>
      </c>
    </row>
    <row r="53" spans="1:5" ht="14.25" x14ac:dyDescent="0.2">
      <c r="A53" s="28"/>
      <c r="B53" s="28"/>
      <c r="C53" s="28"/>
      <c r="D53" s="28"/>
      <c r="E53" s="30"/>
    </row>
    <row r="54" spans="1:5" ht="14.25" x14ac:dyDescent="0.2">
      <c r="A54" s="28">
        <v>530.05999999999995</v>
      </c>
      <c r="B54" s="28"/>
      <c r="C54" s="28" t="s">
        <v>656</v>
      </c>
      <c r="D54" s="28"/>
      <c r="E54" s="30">
        <v>2000</v>
      </c>
    </row>
    <row r="55" spans="1:5" ht="14.25" x14ac:dyDescent="0.2">
      <c r="A55" s="28"/>
      <c r="B55" s="28"/>
      <c r="C55" s="28"/>
      <c r="D55" s="28"/>
      <c r="E55" s="30"/>
    </row>
    <row r="56" spans="1:5" ht="14.25" x14ac:dyDescent="0.2">
      <c r="A56" s="28">
        <v>530.11</v>
      </c>
      <c r="B56" s="28"/>
      <c r="C56" s="28" t="s">
        <v>2</v>
      </c>
      <c r="D56" s="28"/>
      <c r="E56" s="30">
        <f>2000*12</f>
        <v>24000</v>
      </c>
    </row>
    <row r="57" spans="1:5" ht="14.25" x14ac:dyDescent="0.2">
      <c r="A57" s="28"/>
      <c r="B57" s="28"/>
      <c r="C57" s="28"/>
      <c r="D57" s="28"/>
      <c r="E57" s="30"/>
    </row>
    <row r="58" spans="1:5" ht="14.25" x14ac:dyDescent="0.2">
      <c r="A58" s="31">
        <v>530.20000000000005</v>
      </c>
      <c r="B58" s="28"/>
      <c r="C58" s="28" t="s">
        <v>657</v>
      </c>
      <c r="D58" s="28"/>
      <c r="E58" s="30">
        <v>4000</v>
      </c>
    </row>
    <row r="59" spans="1:5" ht="14.25" x14ac:dyDescent="0.2">
      <c r="A59" s="31"/>
      <c r="B59" s="28"/>
      <c r="C59" s="28" t="s">
        <v>216</v>
      </c>
      <c r="D59" s="28"/>
      <c r="E59" s="38">
        <v>1000</v>
      </c>
    </row>
    <row r="60" spans="1:5" ht="14.25" x14ac:dyDescent="0.2">
      <c r="A60" s="31"/>
      <c r="B60" s="28"/>
      <c r="C60" s="28" t="s">
        <v>13</v>
      </c>
      <c r="D60" s="28"/>
      <c r="E60" s="30">
        <f>SUM(E58:E59)</f>
        <v>5000</v>
      </c>
    </row>
    <row r="61" spans="1:5" ht="14.25" x14ac:dyDescent="0.2">
      <c r="A61" s="28"/>
      <c r="B61" s="28"/>
      <c r="C61" s="28"/>
      <c r="D61" s="28"/>
      <c r="E61" s="30"/>
    </row>
    <row r="62" spans="1:5" ht="14.25" x14ac:dyDescent="0.2">
      <c r="A62" s="28">
        <v>540.01</v>
      </c>
      <c r="B62" s="28"/>
      <c r="C62" s="28" t="s">
        <v>658</v>
      </c>
      <c r="D62" s="28"/>
      <c r="E62" s="30">
        <v>1500</v>
      </c>
    </row>
    <row r="63" spans="1:5" ht="14.25" x14ac:dyDescent="0.2">
      <c r="A63" s="28"/>
      <c r="B63" s="28"/>
      <c r="C63" s="28"/>
      <c r="D63" s="28"/>
      <c r="E63" s="30"/>
    </row>
    <row r="64" spans="1:5" ht="14.25" x14ac:dyDescent="0.2">
      <c r="A64" s="28">
        <v>540.04</v>
      </c>
      <c r="B64" s="28"/>
      <c r="C64" s="28" t="s">
        <v>793</v>
      </c>
      <c r="D64" s="28"/>
      <c r="E64" s="30">
        <v>150000</v>
      </c>
    </row>
    <row r="65" spans="1:5" ht="14.25" x14ac:dyDescent="0.2">
      <c r="A65" s="28"/>
      <c r="B65" s="28"/>
      <c r="C65" s="28"/>
      <c r="D65" s="28"/>
      <c r="E65" s="30"/>
    </row>
    <row r="66" spans="1:5" ht="14.25" x14ac:dyDescent="0.2">
      <c r="A66" s="28">
        <v>550.03</v>
      </c>
      <c r="B66" s="28"/>
      <c r="C66" s="28" t="s">
        <v>794</v>
      </c>
      <c r="D66" s="28"/>
      <c r="E66" s="30">
        <v>12000</v>
      </c>
    </row>
    <row r="67" spans="1:5" ht="14.25" x14ac:dyDescent="0.2">
      <c r="A67" s="28"/>
      <c r="B67" s="28"/>
      <c r="C67" s="28"/>
      <c r="D67" s="28"/>
      <c r="E67" s="30"/>
    </row>
    <row r="68" spans="1:5" ht="14.25" x14ac:dyDescent="0.2">
      <c r="A68" s="28">
        <v>550.04</v>
      </c>
      <c r="B68" s="28"/>
      <c r="C68" s="28" t="s">
        <v>795</v>
      </c>
      <c r="D68" s="28"/>
      <c r="E68" s="30">
        <v>12000</v>
      </c>
    </row>
    <row r="69" spans="1:5" ht="14.25" x14ac:dyDescent="0.2">
      <c r="A69" s="28"/>
      <c r="B69" s="28"/>
      <c r="C69" s="28"/>
      <c r="D69" s="28"/>
      <c r="E69" s="30"/>
    </row>
    <row r="70" spans="1:5" ht="14.25" x14ac:dyDescent="0.2">
      <c r="A70" s="28">
        <v>550.05999999999995</v>
      </c>
      <c r="B70" s="28"/>
      <c r="C70" s="28" t="s">
        <v>659</v>
      </c>
      <c r="D70" s="28"/>
      <c r="E70" s="30">
        <v>1500</v>
      </c>
    </row>
    <row r="71" spans="1:5" ht="14.25" x14ac:dyDescent="0.2">
      <c r="A71" s="28"/>
      <c r="B71" s="28"/>
      <c r="C71" s="28"/>
      <c r="D71" s="28"/>
      <c r="E71" s="30"/>
    </row>
    <row r="72" spans="1:5" ht="14.25" x14ac:dyDescent="0.2">
      <c r="A72" s="28">
        <v>560.02</v>
      </c>
      <c r="B72" s="28"/>
      <c r="C72" s="28" t="s">
        <v>796</v>
      </c>
      <c r="D72" s="28"/>
      <c r="E72" s="30">
        <v>1000</v>
      </c>
    </row>
    <row r="73" spans="1:5" ht="14.25" x14ac:dyDescent="0.2">
      <c r="A73" s="28"/>
      <c r="B73" s="28"/>
      <c r="C73" s="28"/>
      <c r="D73" s="28"/>
      <c r="E73" s="30"/>
    </row>
    <row r="74" spans="1:5" ht="14.25" x14ac:dyDescent="0.2">
      <c r="A74" s="31">
        <v>560.1</v>
      </c>
      <c r="B74" s="28"/>
      <c r="C74" s="28" t="s">
        <v>620</v>
      </c>
      <c r="D74" s="28"/>
      <c r="E74" s="30">
        <v>2500</v>
      </c>
    </row>
    <row r="75" spans="1:5" ht="14.25" x14ac:dyDescent="0.2">
      <c r="A75" s="31"/>
      <c r="B75" s="28"/>
      <c r="C75" s="28" t="s">
        <v>1024</v>
      </c>
      <c r="D75" s="28"/>
      <c r="E75" s="30">
        <v>2500</v>
      </c>
    </row>
    <row r="76" spans="1:5" ht="14.25" x14ac:dyDescent="0.2">
      <c r="A76" s="31"/>
      <c r="B76" s="28"/>
      <c r="C76" s="28" t="s">
        <v>660</v>
      </c>
      <c r="D76" s="28"/>
      <c r="E76" s="38">
        <v>2500</v>
      </c>
    </row>
    <row r="77" spans="1:5" ht="14.25" x14ac:dyDescent="0.2">
      <c r="A77" s="31"/>
      <c r="B77" s="28"/>
      <c r="C77" s="28" t="s">
        <v>13</v>
      </c>
      <c r="D77" s="28"/>
      <c r="E77" s="30">
        <f>SUM(E74:E76)</f>
        <v>7500</v>
      </c>
    </row>
    <row r="78" spans="1:5" ht="14.25" x14ac:dyDescent="0.2">
      <c r="A78" s="28"/>
      <c r="B78" s="28"/>
      <c r="C78" s="28"/>
      <c r="D78" s="28"/>
      <c r="E78" s="30"/>
    </row>
    <row r="79" spans="1:5" ht="14.25" x14ac:dyDescent="0.2">
      <c r="A79" s="28">
        <v>580.01</v>
      </c>
      <c r="B79" s="28"/>
      <c r="C79" s="28" t="s">
        <v>799</v>
      </c>
      <c r="D79" s="28"/>
      <c r="E79" s="30">
        <v>30000</v>
      </c>
    </row>
    <row r="80" spans="1:5" ht="14.25" x14ac:dyDescent="0.2">
      <c r="A80" s="28"/>
      <c r="B80" s="28"/>
      <c r="C80" s="28" t="s">
        <v>798</v>
      </c>
      <c r="D80" s="28"/>
      <c r="E80" s="38">
        <v>5000</v>
      </c>
    </row>
    <row r="81" spans="1:6" ht="14.25" x14ac:dyDescent="0.2">
      <c r="A81" s="28"/>
      <c r="B81" s="28"/>
      <c r="C81" s="28" t="s">
        <v>13</v>
      </c>
      <c r="D81" s="28"/>
      <c r="E81" s="30">
        <f>SUM(E79:E80)</f>
        <v>35000</v>
      </c>
    </row>
    <row r="82" spans="1:6" ht="14.25" x14ac:dyDescent="0.2">
      <c r="A82" s="28"/>
      <c r="B82" s="28"/>
      <c r="C82" s="28"/>
      <c r="D82" s="28"/>
      <c r="E82" s="30"/>
    </row>
    <row r="83" spans="1:6" ht="14.25" x14ac:dyDescent="0.2">
      <c r="A83" s="28">
        <v>580.04</v>
      </c>
      <c r="B83" s="28"/>
      <c r="C83" s="28" t="s">
        <v>665</v>
      </c>
      <c r="D83" s="28"/>
      <c r="E83" s="30"/>
      <c r="F83" s="28" t="s">
        <v>834</v>
      </c>
    </row>
    <row r="84" spans="1:6" ht="14.25" x14ac:dyDescent="0.2">
      <c r="A84" s="28"/>
      <c r="B84" s="28"/>
      <c r="C84" s="28"/>
      <c r="D84" s="28"/>
      <c r="E84" s="30"/>
    </row>
    <row r="85" spans="1:6" ht="14.25" x14ac:dyDescent="0.2">
      <c r="A85" s="28">
        <v>580.11</v>
      </c>
      <c r="B85" s="28"/>
      <c r="C85" s="28" t="s">
        <v>797</v>
      </c>
      <c r="D85" s="28"/>
      <c r="E85" s="30">
        <v>10500</v>
      </c>
    </row>
    <row r="86" spans="1:6" ht="14.25" x14ac:dyDescent="0.2">
      <c r="A86" s="28"/>
      <c r="B86" s="28"/>
      <c r="C86" s="28"/>
      <c r="D86" s="28"/>
      <c r="E86" s="30"/>
    </row>
    <row r="87" spans="1:6" ht="14.25" x14ac:dyDescent="0.2">
      <c r="A87" s="28">
        <v>580.16</v>
      </c>
      <c r="B87" s="28"/>
      <c r="C87" s="28" t="s">
        <v>661</v>
      </c>
      <c r="D87" s="28"/>
      <c r="E87" s="30">
        <v>30000</v>
      </c>
    </row>
    <row r="88" spans="1:6" ht="14.25" x14ac:dyDescent="0.2">
      <c r="A88" s="28"/>
      <c r="B88" s="28"/>
      <c r="C88" s="28"/>
      <c r="D88" s="28"/>
      <c r="E88" s="30"/>
    </row>
    <row r="89" spans="1:6" ht="14.25" x14ac:dyDescent="0.2">
      <c r="A89" s="28">
        <v>590.02</v>
      </c>
      <c r="B89" s="28"/>
      <c r="C89" s="28" t="s">
        <v>662</v>
      </c>
      <c r="D89" s="28"/>
      <c r="E89" s="53">
        <v>3000</v>
      </c>
    </row>
    <row r="90" spans="1:6" ht="14.25" x14ac:dyDescent="0.2">
      <c r="A90" s="28"/>
      <c r="B90" s="28"/>
      <c r="C90" s="28"/>
      <c r="D90" s="28"/>
      <c r="E90" s="30"/>
    </row>
    <row r="91" spans="1:6" ht="14.25" x14ac:dyDescent="0.2">
      <c r="A91" s="28">
        <v>590.03</v>
      </c>
      <c r="B91" s="28"/>
      <c r="C91" s="28" t="s">
        <v>1023</v>
      </c>
      <c r="D91" s="28"/>
      <c r="E91" s="30">
        <f>51000-27200</f>
        <v>23800</v>
      </c>
    </row>
    <row r="92" spans="1:6" ht="14.25" x14ac:dyDescent="0.2">
      <c r="A92" s="28"/>
      <c r="B92" s="28"/>
      <c r="C92" s="28" t="s">
        <v>1022</v>
      </c>
      <c r="D92" s="28"/>
      <c r="E92" s="30">
        <f>(41000+1600)/3</f>
        <v>14200</v>
      </c>
    </row>
    <row r="93" spans="1:6" ht="14.25" x14ac:dyDescent="0.2">
      <c r="A93" s="28"/>
      <c r="B93" s="28"/>
      <c r="C93" s="28" t="s">
        <v>1020</v>
      </c>
      <c r="D93" s="28"/>
      <c r="E93" s="38">
        <v>13000</v>
      </c>
    </row>
    <row r="94" spans="1:6" ht="14.25" x14ac:dyDescent="0.2">
      <c r="A94" s="28"/>
      <c r="B94" s="28"/>
      <c r="C94" s="28" t="s">
        <v>13</v>
      </c>
      <c r="D94" s="28"/>
      <c r="E94" s="30">
        <f>SUM(E91:E93)</f>
        <v>51000</v>
      </c>
    </row>
    <row r="95" spans="1:6" ht="14.25" x14ac:dyDescent="0.2">
      <c r="A95" s="28"/>
      <c r="B95" s="28"/>
      <c r="C95" s="28"/>
      <c r="D95" s="28"/>
      <c r="E95" s="30"/>
    </row>
    <row r="96" spans="1:6" ht="14.25" x14ac:dyDescent="0.2">
      <c r="A96" s="28">
        <v>590.04</v>
      </c>
      <c r="B96" s="28"/>
      <c r="C96" s="28" t="s">
        <v>1065</v>
      </c>
      <c r="D96" s="28"/>
      <c r="E96" s="30">
        <v>18500</v>
      </c>
    </row>
    <row r="97" spans="1:5" ht="14.25" x14ac:dyDescent="0.2">
      <c r="A97" s="28"/>
      <c r="B97" s="28"/>
      <c r="C97" s="28" t="s">
        <v>1063</v>
      </c>
      <c r="D97" s="28"/>
      <c r="E97" s="30">
        <v>9200</v>
      </c>
    </row>
    <row r="98" spans="1:5" ht="14.25" x14ac:dyDescent="0.2">
      <c r="A98" s="28"/>
      <c r="B98" s="28"/>
      <c r="C98" s="28" t="s">
        <v>1064</v>
      </c>
      <c r="D98" s="28"/>
      <c r="E98" s="38">
        <v>26200</v>
      </c>
    </row>
    <row r="99" spans="1:5" ht="14.25" x14ac:dyDescent="0.2">
      <c r="A99" s="28"/>
      <c r="B99" s="28"/>
      <c r="C99" s="28" t="s">
        <v>13</v>
      </c>
      <c r="D99" s="28"/>
      <c r="E99" s="30">
        <f>SUM(E96:E98)</f>
        <v>53900</v>
      </c>
    </row>
    <row r="100" spans="1:5" ht="14.25" x14ac:dyDescent="0.2">
      <c r="A100" s="28"/>
      <c r="B100" s="28"/>
      <c r="C100" s="28"/>
      <c r="D100" s="28"/>
      <c r="E100" s="30"/>
    </row>
    <row r="101" spans="1:5" ht="14.25" x14ac:dyDescent="0.2">
      <c r="A101" s="28">
        <v>620.04999999999995</v>
      </c>
      <c r="B101" s="28"/>
      <c r="C101" s="28" t="s">
        <v>638</v>
      </c>
      <c r="D101" s="28"/>
      <c r="E101" s="30">
        <v>300000</v>
      </c>
    </row>
    <row r="102" spans="1:5" ht="14.25" x14ac:dyDescent="0.2">
      <c r="A102" s="28"/>
      <c r="B102" s="28"/>
      <c r="C102" s="28"/>
      <c r="D102" s="28"/>
      <c r="E102" s="30"/>
    </row>
    <row r="103" spans="1:5" ht="14.25" x14ac:dyDescent="0.2">
      <c r="A103" s="31">
        <v>620.1</v>
      </c>
      <c r="B103" s="28"/>
      <c r="C103" s="28" t="s">
        <v>685</v>
      </c>
      <c r="D103" s="28"/>
      <c r="E103" s="30">
        <v>28000</v>
      </c>
    </row>
    <row r="104" spans="1:5" ht="14.25" x14ac:dyDescent="0.2">
      <c r="A104" s="28"/>
      <c r="B104" s="28"/>
      <c r="C104" s="28"/>
      <c r="D104" s="28"/>
      <c r="E104" s="30"/>
    </row>
    <row r="105" spans="1:5" ht="14.25" x14ac:dyDescent="0.2">
      <c r="A105" s="35"/>
      <c r="B105" s="28"/>
      <c r="C105" s="28"/>
      <c r="D105" s="28"/>
      <c r="E105" s="30"/>
    </row>
    <row r="106" spans="1:5" ht="14.25" x14ac:dyDescent="0.2">
      <c r="A106" s="28"/>
      <c r="B106" s="28"/>
      <c r="C106" s="28"/>
      <c r="D106" s="28"/>
      <c r="E106" s="30"/>
    </row>
    <row r="107" spans="1:5" ht="14.25" x14ac:dyDescent="0.2">
      <c r="A107" s="28"/>
      <c r="B107" s="28"/>
      <c r="C107" s="28"/>
      <c r="D107" s="28"/>
      <c r="E107" s="30"/>
    </row>
    <row r="108" spans="1:5" ht="14.25" x14ac:dyDescent="0.2">
      <c r="A108" s="28"/>
      <c r="B108" s="28"/>
      <c r="C108" s="28"/>
      <c r="D108" s="28"/>
      <c r="E108" s="28"/>
    </row>
    <row r="109" spans="1:5" ht="14.25" x14ac:dyDescent="0.2">
      <c r="A109" s="28"/>
      <c r="B109" s="28"/>
      <c r="C109" s="28"/>
      <c r="D109" s="28"/>
      <c r="E109" s="28"/>
    </row>
    <row r="110" spans="1:5" ht="14.25" x14ac:dyDescent="0.2">
      <c r="A110" s="28"/>
      <c r="B110" s="28"/>
      <c r="C110" s="28"/>
      <c r="D110" s="28"/>
      <c r="E110" s="28"/>
    </row>
    <row r="111" spans="1:5" ht="14.25" x14ac:dyDescent="0.2">
      <c r="A111" s="28"/>
      <c r="B111" s="28"/>
      <c r="C111" s="28"/>
      <c r="D111" s="28"/>
      <c r="E111" s="28"/>
    </row>
    <row r="112" spans="1:5" ht="14.25" x14ac:dyDescent="0.2">
      <c r="A112" s="28"/>
      <c r="B112" s="28"/>
      <c r="C112" s="28"/>
      <c r="D112" s="28"/>
      <c r="E112" s="28"/>
    </row>
    <row r="113" spans="1:5" ht="14.25" x14ac:dyDescent="0.2">
      <c r="A113" s="28"/>
      <c r="B113" s="28"/>
      <c r="C113" s="28"/>
      <c r="D113" s="28"/>
      <c r="E113" s="28"/>
    </row>
  </sheetData>
  <printOptions headings="1" gridLines="1"/>
  <pageMargins left="0.7" right="0" top="0.75" bottom="0.75" header="0.3" footer="0.3"/>
  <pageSetup scale="91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Proposed Budget</vt:lpstr>
      <vt:lpstr>Personnel Sched - Gen Admin</vt:lpstr>
      <vt:lpstr>Budget Req - Gen Admin</vt:lpstr>
      <vt:lpstr>Personnel Sched-PD</vt:lpstr>
      <vt:lpstr>Budget Req-PD</vt:lpstr>
      <vt:lpstr>Personnel Sched-Animal Cont</vt:lpstr>
      <vt:lpstr>Budget Req-Animal Cont.</vt:lpstr>
      <vt:lpstr>Budget Req-KVFD</vt:lpstr>
      <vt:lpstr>Personnel Sched-Comm D</vt:lpstr>
      <vt:lpstr>Budget Req-Comm Dev</vt:lpstr>
      <vt:lpstr>Personnel Sched-Street</vt:lpstr>
      <vt:lpstr>Budget Req-Street</vt:lpstr>
      <vt:lpstr>Budget Req-Emer Mgmt</vt:lpstr>
      <vt:lpstr>Budget Req-Airport</vt:lpstr>
      <vt:lpstr>Budget Req-Library</vt:lpstr>
      <vt:lpstr>Personnel Sched-Park</vt:lpstr>
      <vt:lpstr>Budget Req-Park</vt:lpstr>
      <vt:lpstr>Personnel Sched-Muni Court</vt:lpstr>
      <vt:lpstr>Budget Req-Muni Court</vt:lpstr>
      <vt:lpstr>Personnel Sched-CodeComp</vt:lpstr>
      <vt:lpstr>Budget Req-CodeCompl</vt:lpstr>
      <vt:lpstr>Personnel Sched-Util Admin</vt:lpstr>
      <vt:lpstr>Budget Req-Util Admin</vt:lpstr>
      <vt:lpstr>Personnel Sched-WWTP</vt:lpstr>
      <vt:lpstr>Budget Req-WWTP</vt:lpstr>
      <vt:lpstr>Personnel Sched-RO</vt:lpstr>
      <vt:lpstr>Budget Req-RO</vt:lpstr>
      <vt:lpstr>Personnel Sched-W&amp;S O&amp;M </vt:lpstr>
      <vt:lpstr>Bud Req-W&amp;S O&amp;M</vt:lpstr>
      <vt:lpstr>'Budget Req-PD'!Print_Area</vt:lpstr>
      <vt:lpstr>'Proposed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Amanda Hines</cp:lastModifiedBy>
  <cp:lastPrinted>2017-10-19T16:37:59Z</cp:lastPrinted>
  <dcterms:created xsi:type="dcterms:W3CDTF">2006-08-28T23:35:03Z</dcterms:created>
  <dcterms:modified xsi:type="dcterms:W3CDTF">2018-01-17T21:51:24Z</dcterms:modified>
</cp:coreProperties>
</file>