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KSRV1\Shared\"/>
    </mc:Choice>
  </mc:AlternateContent>
  <xr:revisionPtr revIDLastSave="0" documentId="8_{E24E1671-47E0-40B8-8371-F87AD62379A7}" xr6:coauthVersionLast="38" xr6:coauthVersionMax="38" xr10:uidLastSave="{00000000-0000-0000-0000-000000000000}"/>
  <bookViews>
    <workbookView xWindow="0" yWindow="0" windowWidth="15345" windowHeight="4335" xr2:uid="{00000000-000D-0000-FFFF-FFFF00000000}"/>
  </bookViews>
  <sheets>
    <sheet name="Proposed Budget" sheetId="33" r:id="rId1"/>
    <sheet name="Personnel Sched - Gen Admin" sheetId="2" r:id="rId2"/>
    <sheet name="Budget Req - Gen Admin" sheetId="3" r:id="rId3"/>
    <sheet name="Personnel Sched-PD" sheetId="4" r:id="rId4"/>
    <sheet name="Budget Req-PD" sheetId="5" r:id="rId5"/>
    <sheet name="Personnel Sched-Animal Cont" sheetId="6" r:id="rId6"/>
    <sheet name="Budget Req-Animal Cont." sheetId="7" r:id="rId7"/>
    <sheet name="Budget Req-KVFD" sheetId="9" r:id="rId8"/>
    <sheet name="Personnel Sched-Comm D" sheetId="10" r:id="rId9"/>
    <sheet name="Budget Req-Comm Dev" sheetId="11" r:id="rId10"/>
    <sheet name="Personnel Sched-Street" sheetId="12" r:id="rId11"/>
    <sheet name="Budget Req-Street" sheetId="13" r:id="rId12"/>
    <sheet name="Budget Req-Emer Mgmt" sheetId="14" r:id="rId13"/>
    <sheet name="Budget Req-Airport" sheetId="15" r:id="rId14"/>
    <sheet name="Budget Req-Library" sheetId="16" r:id="rId15"/>
    <sheet name="Personnel Sched-Park" sheetId="17" r:id="rId16"/>
    <sheet name="Budget Req-Park" sheetId="18" r:id="rId17"/>
    <sheet name="Personnel Sched-Muni Court" sheetId="19" r:id="rId18"/>
    <sheet name="Budget Req-Muni Court" sheetId="20" r:id="rId19"/>
    <sheet name="Personnel Sched-Util Admin" sheetId="21" r:id="rId20"/>
    <sheet name="Budget Req-Util Admin" sheetId="22" r:id="rId21"/>
    <sheet name="Personnel Sched-WWTP" sheetId="29" r:id="rId22"/>
    <sheet name="Budget Req-WWTP" sheetId="25" r:id="rId23"/>
    <sheet name="Personnel Sched-RO" sheetId="30" r:id="rId24"/>
    <sheet name="Budget Req-RO" sheetId="24" r:id="rId25"/>
    <sheet name="Personnel Sched-W&amp;S O&amp;M " sheetId="28" r:id="rId26"/>
    <sheet name="Bud Req-W&amp;S O&amp;M" sheetId="26" r:id="rId27"/>
  </sheets>
  <definedNames>
    <definedName name="_xlnm.Print_Area" localSheetId="4">'Budget Req-PD'!$A$1:$F$69</definedName>
    <definedName name="_xlnm.Print_Area" localSheetId="0">'Proposed Budget'!$A$2:$N$894</definedName>
  </definedNames>
  <calcPr calcId="162913" iterateCount="1"/>
</workbook>
</file>

<file path=xl/calcChain.xml><?xml version="1.0" encoding="utf-8"?>
<calcChain xmlns="http://schemas.openxmlformats.org/spreadsheetml/2006/main">
  <c r="L777" i="33" l="1"/>
  <c r="L778" i="33"/>
  <c r="K269" i="33" l="1"/>
  <c r="L269" i="33"/>
  <c r="N269" i="33"/>
  <c r="N105" i="33"/>
  <c r="N520" i="33" l="1"/>
  <c r="L520" i="33"/>
  <c r="K520" i="33"/>
  <c r="N491" i="33"/>
  <c r="L491" i="33"/>
  <c r="K491" i="33"/>
  <c r="N888" i="33" l="1"/>
  <c r="N890" i="33" s="1"/>
  <c r="M888" i="33"/>
  <c r="M890" i="33" s="1"/>
  <c r="L888" i="33"/>
  <c r="L890" i="33" s="1"/>
  <c r="N42" i="33"/>
  <c r="N33" i="33"/>
  <c r="N26" i="33"/>
  <c r="N23" i="33"/>
  <c r="N14" i="33"/>
  <c r="N8" i="33"/>
  <c r="N77" i="33"/>
  <c r="N866" i="33" l="1"/>
  <c r="N870" i="33" s="1"/>
  <c r="M866" i="33"/>
  <c r="M870" i="33" s="1"/>
  <c r="N840" i="33"/>
  <c r="M840" i="33"/>
  <c r="M834" i="33"/>
  <c r="N834" i="33"/>
  <c r="N827" i="33"/>
  <c r="M827" i="33"/>
  <c r="M814" i="33"/>
  <c r="N814" i="33"/>
  <c r="M842" i="33" l="1"/>
  <c r="N842" i="33"/>
  <c r="N807" i="33"/>
  <c r="M805" i="33"/>
  <c r="M804" i="33"/>
  <c r="N789" i="33"/>
  <c r="N764" i="33"/>
  <c r="N757" i="33"/>
  <c r="N741" i="33"/>
  <c r="N735" i="33"/>
  <c r="M735" i="33"/>
  <c r="N725" i="33"/>
  <c r="M723" i="33"/>
  <c r="N720" i="33"/>
  <c r="M719" i="33"/>
  <c r="M718" i="33"/>
  <c r="M717" i="33"/>
  <c r="N537" i="33"/>
  <c r="N531" i="33"/>
  <c r="N528" i="33"/>
  <c r="N524" i="33"/>
  <c r="N522" i="33"/>
  <c r="N510" i="33"/>
  <c r="N486" i="33"/>
  <c r="N484" i="33"/>
  <c r="N481" i="33"/>
  <c r="N478" i="33"/>
  <c r="N472" i="33"/>
  <c r="N467" i="33"/>
  <c r="G18" i="7"/>
  <c r="G17" i="7"/>
  <c r="I9" i="6"/>
  <c r="H29" i="4"/>
  <c r="H27" i="4"/>
  <c r="H25" i="4"/>
  <c r="H23" i="4"/>
  <c r="N51" i="33"/>
  <c r="G16" i="2"/>
  <c r="M807" i="33" l="1"/>
  <c r="N492" i="33"/>
  <c r="H24" i="28"/>
  <c r="H22" i="28"/>
  <c r="H20" i="28"/>
  <c r="H18" i="28"/>
  <c r="H16" i="28"/>
  <c r="H14" i="28"/>
  <c r="H12" i="28"/>
  <c r="H10" i="28"/>
  <c r="I12" i="30"/>
  <c r="G18" i="30"/>
  <c r="I8" i="30"/>
  <c r="N546" i="33"/>
  <c r="N545" i="33"/>
  <c r="G19" i="29"/>
  <c r="I8" i="29"/>
  <c r="I10" i="29"/>
  <c r="N499" i="33"/>
  <c r="N498" i="33"/>
  <c r="I15" i="21"/>
  <c r="I13" i="21"/>
  <c r="I11" i="21"/>
  <c r="I9" i="21"/>
  <c r="G17" i="21"/>
  <c r="N423" i="33"/>
  <c r="N422" i="33"/>
  <c r="I11" i="19"/>
  <c r="I9" i="19"/>
  <c r="N384" i="33"/>
  <c r="N383" i="33"/>
  <c r="G19" i="17"/>
  <c r="I15" i="17"/>
  <c r="I13" i="17"/>
  <c r="I11" i="17"/>
  <c r="I9" i="17"/>
  <c r="I19" i="17" s="1"/>
  <c r="N285" i="33"/>
  <c r="G19" i="13"/>
  <c r="G18" i="13"/>
  <c r="G26" i="12"/>
  <c r="I12" i="12"/>
  <c r="I14" i="12"/>
  <c r="I16" i="12"/>
  <c r="I18" i="12"/>
  <c r="I20" i="12"/>
  <c r="I10" i="12"/>
  <c r="M267" i="33"/>
  <c r="M269" i="33" s="1"/>
  <c r="N266" i="33"/>
  <c r="L266" i="33"/>
  <c r="G8" i="11"/>
  <c r="G17" i="11" s="1"/>
  <c r="N240" i="33"/>
  <c r="N243" i="33" s="1"/>
  <c r="I9" i="10"/>
  <c r="I19" i="29" l="1"/>
  <c r="I18" i="30"/>
  <c r="G16" i="11"/>
  <c r="N388" i="33"/>
  <c r="N503" i="33"/>
  <c r="N538" i="33" s="1"/>
  <c r="N244" i="33"/>
  <c r="I26" i="12"/>
  <c r="H33" i="4"/>
  <c r="H31" i="4"/>
  <c r="H21" i="4"/>
  <c r="H19" i="4"/>
  <c r="H17" i="4"/>
  <c r="H15" i="4"/>
  <c r="H13" i="4"/>
  <c r="H11" i="4"/>
  <c r="I28" i="12" l="1"/>
  <c r="I30" i="12"/>
  <c r="N56" i="33"/>
  <c r="N55" i="33"/>
  <c r="K272" i="33" l="1"/>
  <c r="L272" i="33"/>
  <c r="N272" i="33"/>
  <c r="N225" i="33"/>
  <c r="K861" i="33" l="1"/>
  <c r="J861" i="33"/>
  <c r="I861" i="33"/>
  <c r="L840" i="33"/>
  <c r="K840" i="33"/>
  <c r="L834" i="33"/>
  <c r="K834" i="33"/>
  <c r="L827" i="33"/>
  <c r="K827" i="33"/>
  <c r="L814" i="33"/>
  <c r="K814" i="33"/>
  <c r="L807" i="33"/>
  <c r="K807" i="33"/>
  <c r="I799" i="33"/>
  <c r="H799" i="33"/>
  <c r="G799" i="33"/>
  <c r="N793" i="33"/>
  <c r="N792" i="33"/>
  <c r="K776" i="33"/>
  <c r="L776" i="33" s="1"/>
  <c r="K775" i="33"/>
  <c r="L775" i="33" s="1"/>
  <c r="K774" i="33"/>
  <c r="L774" i="33" s="1"/>
  <c r="K773" i="33"/>
  <c r="L773" i="33" s="1"/>
  <c r="B779" i="33"/>
  <c r="M725" i="33"/>
  <c r="M720" i="33"/>
  <c r="L725" i="33"/>
  <c r="L720" i="33"/>
  <c r="E21" i="15"/>
  <c r="D21" i="15"/>
  <c r="K842" i="33" l="1"/>
  <c r="L842" i="33"/>
  <c r="K779" i="33"/>
  <c r="L779" i="33" s="1"/>
  <c r="L727" i="33"/>
  <c r="N708" i="33"/>
  <c r="N705" i="33"/>
  <c r="N701" i="33"/>
  <c r="N696" i="33"/>
  <c r="N692" i="33"/>
  <c r="N687" i="33"/>
  <c r="N684" i="33"/>
  <c r="N675" i="33"/>
  <c r="N664" i="33"/>
  <c r="M657" i="33"/>
  <c r="M658" i="33"/>
  <c r="M659" i="33"/>
  <c r="M660" i="33"/>
  <c r="M661" i="33"/>
  <c r="M662" i="33"/>
  <c r="M663" i="33"/>
  <c r="M665" i="33"/>
  <c r="M666" i="33"/>
  <c r="M667" i="33"/>
  <c r="M668" i="33"/>
  <c r="M669" i="33"/>
  <c r="M670" i="33"/>
  <c r="M671" i="33"/>
  <c r="M672" i="33"/>
  <c r="M673" i="33"/>
  <c r="M676" i="33"/>
  <c r="M677" i="33"/>
  <c r="M678" i="33"/>
  <c r="M679" i="33"/>
  <c r="M680" i="33"/>
  <c r="M681" i="33"/>
  <c r="M682" i="33"/>
  <c r="M683" i="33"/>
  <c r="M685" i="33"/>
  <c r="M686" i="33"/>
  <c r="M688" i="33"/>
  <c r="M689" i="33"/>
  <c r="M690" i="33"/>
  <c r="M691" i="33"/>
  <c r="M693" i="33"/>
  <c r="M694" i="33"/>
  <c r="M695" i="33"/>
  <c r="M697" i="33"/>
  <c r="M698" i="33"/>
  <c r="M699" i="33"/>
  <c r="M700" i="33"/>
  <c r="M702" i="33"/>
  <c r="M703" i="33"/>
  <c r="M704" i="33"/>
  <c r="M706" i="33"/>
  <c r="M707" i="33"/>
  <c r="M656" i="33"/>
  <c r="N651" i="33"/>
  <c r="N648" i="33"/>
  <c r="N643" i="33"/>
  <c r="N641" i="33"/>
  <c r="N637" i="33"/>
  <c r="N631" i="33"/>
  <c r="N627" i="33"/>
  <c r="N618" i="33"/>
  <c r="N608" i="33"/>
  <c r="M601" i="33"/>
  <c r="M602" i="33"/>
  <c r="M603" i="33"/>
  <c r="M604" i="33"/>
  <c r="M605" i="33"/>
  <c r="M606" i="33"/>
  <c r="M607" i="33"/>
  <c r="M609" i="33"/>
  <c r="M610" i="33"/>
  <c r="M611" i="33"/>
  <c r="M612" i="33"/>
  <c r="M613" i="33"/>
  <c r="M614" i="33"/>
  <c r="M615" i="33"/>
  <c r="M616" i="33"/>
  <c r="M617" i="33"/>
  <c r="M619" i="33"/>
  <c r="M620" i="33"/>
  <c r="M621" i="33"/>
  <c r="M622" i="33"/>
  <c r="M623" i="33"/>
  <c r="M624" i="33"/>
  <c r="M625" i="33"/>
  <c r="M626" i="33"/>
  <c r="M628" i="33"/>
  <c r="M629" i="33"/>
  <c r="M630" i="33"/>
  <c r="M632" i="33"/>
  <c r="M633" i="33"/>
  <c r="M634" i="33"/>
  <c r="M635" i="33"/>
  <c r="M636" i="33"/>
  <c r="M638" i="33"/>
  <c r="M639" i="33"/>
  <c r="M640" i="33"/>
  <c r="M642" i="33"/>
  <c r="M644" i="33"/>
  <c r="M645" i="33"/>
  <c r="M646" i="33"/>
  <c r="M647" i="33"/>
  <c r="M649" i="33"/>
  <c r="M650" i="33"/>
  <c r="M600" i="33"/>
  <c r="N593" i="33"/>
  <c r="N590" i="33"/>
  <c r="N586" i="33"/>
  <c r="N583" i="33"/>
  <c r="N579" i="33"/>
  <c r="N574" i="33"/>
  <c r="N571" i="33"/>
  <c r="N561" i="33"/>
  <c r="N550" i="33"/>
  <c r="M543" i="33"/>
  <c r="M544" i="33"/>
  <c r="M545" i="33"/>
  <c r="M546" i="33"/>
  <c r="M547" i="33"/>
  <c r="M548" i="33"/>
  <c r="M549" i="33"/>
  <c r="M551" i="33"/>
  <c r="M552" i="33"/>
  <c r="M553" i="33"/>
  <c r="M554" i="33"/>
  <c r="M555" i="33"/>
  <c r="M556" i="33"/>
  <c r="M557" i="33"/>
  <c r="M558" i="33"/>
  <c r="M559" i="33"/>
  <c r="M562" i="33"/>
  <c r="M563" i="33"/>
  <c r="M564" i="33"/>
  <c r="M565" i="33"/>
  <c r="M566" i="33"/>
  <c r="M567" i="33"/>
  <c r="M568" i="33"/>
  <c r="M569" i="33"/>
  <c r="M570" i="33"/>
  <c r="M572" i="33"/>
  <c r="M573" i="33"/>
  <c r="M575" i="33"/>
  <c r="M576" i="33"/>
  <c r="M577" i="33"/>
  <c r="M578" i="33"/>
  <c r="M580" i="33"/>
  <c r="M581" i="33"/>
  <c r="M582" i="33"/>
  <c r="M584" i="33"/>
  <c r="M585" i="33"/>
  <c r="M587" i="33"/>
  <c r="M588" i="33"/>
  <c r="M589" i="33"/>
  <c r="M591" i="33"/>
  <c r="M592" i="33"/>
  <c r="M542" i="33"/>
  <c r="M496" i="33"/>
  <c r="M497" i="33"/>
  <c r="M498" i="33"/>
  <c r="M499" i="33"/>
  <c r="M500" i="33"/>
  <c r="M501" i="33"/>
  <c r="M502" i="33"/>
  <c r="M504" i="33"/>
  <c r="M505" i="33"/>
  <c r="M506" i="33"/>
  <c r="M507" i="33"/>
  <c r="M508" i="33"/>
  <c r="M509" i="33"/>
  <c r="M511" i="33"/>
  <c r="M512" i="33"/>
  <c r="M513" i="33"/>
  <c r="M514" i="33"/>
  <c r="M515" i="33"/>
  <c r="M516" i="33"/>
  <c r="M517" i="33"/>
  <c r="M518" i="33"/>
  <c r="M521" i="33"/>
  <c r="M523" i="33"/>
  <c r="M525" i="33"/>
  <c r="M526" i="33"/>
  <c r="M527" i="33"/>
  <c r="M529" i="33"/>
  <c r="M530" i="33"/>
  <c r="M532" i="33"/>
  <c r="M533" i="33"/>
  <c r="M534" i="33"/>
  <c r="M535" i="33"/>
  <c r="M536" i="33"/>
  <c r="M495" i="33"/>
  <c r="M468" i="33"/>
  <c r="M469" i="33"/>
  <c r="M470" i="33"/>
  <c r="M471" i="33"/>
  <c r="M473" i="33"/>
  <c r="M474" i="33"/>
  <c r="M475" i="33"/>
  <c r="M476" i="33"/>
  <c r="M477" i="33"/>
  <c r="M479" i="33"/>
  <c r="M480" i="33"/>
  <c r="M482" i="33"/>
  <c r="M483" i="33"/>
  <c r="M485" i="33"/>
  <c r="M487" i="33"/>
  <c r="M488" i="33"/>
  <c r="M489" i="33"/>
  <c r="M466" i="33"/>
  <c r="N709" i="33" l="1"/>
  <c r="N652" i="33"/>
  <c r="N594" i="33"/>
  <c r="N710" i="33" s="1"/>
  <c r="N454" i="33"/>
  <c r="N448" i="33"/>
  <c r="N445" i="33"/>
  <c r="M420" i="33"/>
  <c r="M421" i="33"/>
  <c r="M422" i="33"/>
  <c r="M423" i="33"/>
  <c r="M424" i="33"/>
  <c r="M425" i="33"/>
  <c r="M426" i="33"/>
  <c r="M428" i="33"/>
  <c r="M429" i="33"/>
  <c r="M430" i="33"/>
  <c r="M431" i="33"/>
  <c r="M432" i="33"/>
  <c r="M434" i="33"/>
  <c r="M435" i="33"/>
  <c r="M436" i="33"/>
  <c r="M437" i="33"/>
  <c r="M438" i="33"/>
  <c r="M439" i="33"/>
  <c r="M440" i="33"/>
  <c r="M441" i="33"/>
  <c r="M442" i="33"/>
  <c r="M444" i="33"/>
  <c r="M446" i="33"/>
  <c r="M447" i="33"/>
  <c r="M449" i="33"/>
  <c r="M450" i="33"/>
  <c r="M451" i="33"/>
  <c r="M453" i="33"/>
  <c r="M419" i="33"/>
  <c r="N414" i="33"/>
  <c r="N412" i="33"/>
  <c r="N409" i="33"/>
  <c r="N405" i="33"/>
  <c r="N403" i="33"/>
  <c r="N398" i="33"/>
  <c r="M407" i="33"/>
  <c r="M408" i="33"/>
  <c r="M410" i="33"/>
  <c r="M411" i="33"/>
  <c r="M413" i="33"/>
  <c r="M406" i="33"/>
  <c r="M404" i="33"/>
  <c r="M405" i="33" s="1"/>
  <c r="M400" i="33"/>
  <c r="M401" i="33"/>
  <c r="M402" i="33"/>
  <c r="M399" i="33"/>
  <c r="M390" i="33"/>
  <c r="M391" i="33"/>
  <c r="M392" i="33"/>
  <c r="M393" i="33"/>
  <c r="M394" i="33"/>
  <c r="M395" i="33"/>
  <c r="M396" i="33"/>
  <c r="M397" i="33"/>
  <c r="M389" i="33"/>
  <c r="M381" i="33"/>
  <c r="M382" i="33"/>
  <c r="M383" i="33"/>
  <c r="M384" i="33"/>
  <c r="M385" i="33"/>
  <c r="M386" i="33"/>
  <c r="M387" i="33"/>
  <c r="M380" i="33"/>
  <c r="N375" i="33"/>
  <c r="N373" i="33"/>
  <c r="N371" i="33"/>
  <c r="L371" i="33"/>
  <c r="K371" i="33"/>
  <c r="N369" i="33"/>
  <c r="M370" i="33"/>
  <c r="M372" i="33"/>
  <c r="M374" i="33"/>
  <c r="M368" i="33"/>
  <c r="N363" i="33"/>
  <c r="N359" i="33"/>
  <c r="N355" i="33"/>
  <c r="N352" i="33"/>
  <c r="M353" i="33"/>
  <c r="M354" i="33"/>
  <c r="M356" i="33"/>
  <c r="M357" i="33"/>
  <c r="M358" i="33"/>
  <c r="M360" i="33"/>
  <c r="M361" i="33"/>
  <c r="M362" i="33"/>
  <c r="M351" i="33"/>
  <c r="N346" i="33"/>
  <c r="N344" i="33"/>
  <c r="N342" i="33"/>
  <c r="N340" i="33"/>
  <c r="N337" i="33"/>
  <c r="M335" i="33"/>
  <c r="M336" i="33"/>
  <c r="M338" i="33"/>
  <c r="M339" i="33"/>
  <c r="M341" i="33"/>
  <c r="M343" i="33"/>
  <c r="M345" i="33"/>
  <c r="M334" i="33"/>
  <c r="N329" i="33"/>
  <c r="N325" i="33"/>
  <c r="N321" i="33"/>
  <c r="N317" i="33"/>
  <c r="N312" i="33"/>
  <c r="M323" i="33"/>
  <c r="M324" i="33"/>
  <c r="M326" i="33"/>
  <c r="M327" i="33"/>
  <c r="M328" i="33"/>
  <c r="M322" i="33"/>
  <c r="M319" i="33"/>
  <c r="M320" i="33"/>
  <c r="M318" i="33"/>
  <c r="M314" i="33"/>
  <c r="M315" i="33"/>
  <c r="M316" i="33"/>
  <c r="M313" i="33"/>
  <c r="M308" i="33"/>
  <c r="M309" i="33"/>
  <c r="M310" i="33"/>
  <c r="M311" i="33"/>
  <c r="M307" i="33"/>
  <c r="N306" i="33"/>
  <c r="N299" i="33"/>
  <c r="N289" i="33"/>
  <c r="N91" i="33"/>
  <c r="K105" i="33"/>
  <c r="N94" i="33"/>
  <c r="N88" i="33"/>
  <c r="N83" i="33"/>
  <c r="N79" i="33"/>
  <c r="N69" i="33"/>
  <c r="N60" i="33"/>
  <c r="N46" i="33"/>
  <c r="N28" i="33"/>
  <c r="K23" i="33"/>
  <c r="F23" i="33"/>
  <c r="G23" i="33"/>
  <c r="H23" i="33"/>
  <c r="J23" i="33"/>
  <c r="L23" i="33"/>
  <c r="M23" i="33" s="1"/>
  <c r="N17" i="33"/>
  <c r="N106" i="33" l="1"/>
  <c r="N47" i="33"/>
  <c r="N711" i="33"/>
  <c r="N415" i="33"/>
  <c r="M388" i="33"/>
  <c r="N376" i="33"/>
  <c r="M398" i="33"/>
  <c r="M403" i="33"/>
  <c r="N364" i="33"/>
  <c r="N347" i="33"/>
  <c r="M325" i="33"/>
  <c r="M317" i="33"/>
  <c r="M321" i="33"/>
  <c r="M329" i="33"/>
  <c r="M312" i="33"/>
  <c r="N330" i="33"/>
  <c r="N236" i="33"/>
  <c r="N231" i="33"/>
  <c r="N229" i="33"/>
  <c r="N219" i="33"/>
  <c r="N217" i="33"/>
  <c r="N211" i="33"/>
  <c r="N201" i="33"/>
  <c r="M301" i="33"/>
  <c r="M302" i="33"/>
  <c r="M304" i="33"/>
  <c r="M305" i="33"/>
  <c r="M300" i="33"/>
  <c r="M291" i="33"/>
  <c r="M292" i="33"/>
  <c r="M293" i="33"/>
  <c r="M294" i="33"/>
  <c r="M295" i="33"/>
  <c r="M296" i="33"/>
  <c r="M297" i="33"/>
  <c r="M298" i="33"/>
  <c r="M290" i="33"/>
  <c r="M282" i="33"/>
  <c r="M283" i="33"/>
  <c r="M284" i="33"/>
  <c r="M285" i="33"/>
  <c r="M286" i="33"/>
  <c r="M287" i="33"/>
  <c r="M288" i="33"/>
  <c r="M281" i="33"/>
  <c r="M199" i="33"/>
  <c r="M200" i="33"/>
  <c r="M202" i="33"/>
  <c r="M203" i="33"/>
  <c r="M206" i="33"/>
  <c r="M207" i="33"/>
  <c r="M208" i="33"/>
  <c r="M210" i="33"/>
  <c r="M212" i="33"/>
  <c r="M213" i="33"/>
  <c r="M214" i="33"/>
  <c r="M215" i="33"/>
  <c r="M216" i="33"/>
  <c r="M218" i="33"/>
  <c r="M221" i="33"/>
  <c r="M222" i="33"/>
  <c r="M223" i="33"/>
  <c r="M226" i="33"/>
  <c r="M228" i="33"/>
  <c r="M230" i="33"/>
  <c r="M232" i="33"/>
  <c r="M233" i="33"/>
  <c r="M234" i="33"/>
  <c r="M235" i="33"/>
  <c r="M197" i="33"/>
  <c r="N192" i="33"/>
  <c r="N190" i="33"/>
  <c r="N188" i="33"/>
  <c r="N185" i="33"/>
  <c r="M183" i="33"/>
  <c r="M184" i="33"/>
  <c r="M186" i="33"/>
  <c r="M187" i="33"/>
  <c r="M189" i="33"/>
  <c r="M191" i="33"/>
  <c r="M182" i="33"/>
  <c r="N179" i="33"/>
  <c r="N177" i="33"/>
  <c r="N171" i="33"/>
  <c r="M173" i="33"/>
  <c r="N163" i="33"/>
  <c r="G49" i="7"/>
  <c r="M156" i="33"/>
  <c r="M157" i="33"/>
  <c r="M158" i="33"/>
  <c r="M159" i="33"/>
  <c r="M160" i="33"/>
  <c r="M161" i="33"/>
  <c r="M162" i="33"/>
  <c r="M164" i="33"/>
  <c r="M165" i="33"/>
  <c r="M166" i="33"/>
  <c r="M167" i="33"/>
  <c r="M168" i="33"/>
  <c r="M169" i="33"/>
  <c r="M170" i="33"/>
  <c r="M172" i="33"/>
  <c r="M174" i="33"/>
  <c r="M175" i="33"/>
  <c r="M176" i="33"/>
  <c r="M178" i="33"/>
  <c r="M155" i="33"/>
  <c r="N150" i="33"/>
  <c r="N146" i="33"/>
  <c r="N138" i="33"/>
  <c r="N136" i="33"/>
  <c r="N118" i="33"/>
  <c r="M115" i="33"/>
  <c r="M110" i="33"/>
  <c r="M111" i="33"/>
  <c r="M112" i="33"/>
  <c r="M113" i="33"/>
  <c r="M114" i="33"/>
  <c r="M116" i="33"/>
  <c r="M117" i="33"/>
  <c r="M119" i="33"/>
  <c r="M120" i="33"/>
  <c r="M121" i="33"/>
  <c r="M122" i="33"/>
  <c r="M123" i="33"/>
  <c r="M124" i="33"/>
  <c r="M125" i="33"/>
  <c r="M126" i="33"/>
  <c r="M127" i="33"/>
  <c r="M129" i="33"/>
  <c r="M130" i="33"/>
  <c r="M131" i="33"/>
  <c r="M132" i="33"/>
  <c r="M133" i="33"/>
  <c r="M134" i="33"/>
  <c r="M135" i="33"/>
  <c r="M137" i="33"/>
  <c r="M139" i="33"/>
  <c r="M140" i="33"/>
  <c r="M141" i="33"/>
  <c r="M143" i="33"/>
  <c r="M144" i="33"/>
  <c r="M145" i="33"/>
  <c r="M147" i="33"/>
  <c r="M148" i="33"/>
  <c r="M149" i="33"/>
  <c r="M109" i="33"/>
  <c r="M52" i="33"/>
  <c r="M53" i="33"/>
  <c r="M54" i="33"/>
  <c r="M55" i="33"/>
  <c r="M56" i="33"/>
  <c r="M57" i="33"/>
  <c r="M58" i="33"/>
  <c r="M59" i="33"/>
  <c r="M61" i="33"/>
  <c r="M62" i="33"/>
  <c r="M63" i="33"/>
  <c r="M66" i="33"/>
  <c r="M67" i="33"/>
  <c r="M68" i="33"/>
  <c r="M70" i="33"/>
  <c r="M71" i="33"/>
  <c r="M72" i="33"/>
  <c r="M73" i="33"/>
  <c r="M74" i="33"/>
  <c r="M75" i="33"/>
  <c r="M76" i="33"/>
  <c r="M78" i="33"/>
  <c r="M80" i="33"/>
  <c r="M81" i="33"/>
  <c r="M82" i="33"/>
  <c r="M84" i="33"/>
  <c r="M85" i="33"/>
  <c r="M86" i="33"/>
  <c r="M87" i="33"/>
  <c r="M89" i="33"/>
  <c r="M92" i="33"/>
  <c r="M93" i="33"/>
  <c r="M95" i="33"/>
  <c r="M96" i="33"/>
  <c r="M97" i="33"/>
  <c r="M98" i="33"/>
  <c r="M99" i="33"/>
  <c r="M100" i="33"/>
  <c r="M101" i="33"/>
  <c r="M6" i="33"/>
  <c r="M5" i="33"/>
  <c r="M7" i="33"/>
  <c r="M104" i="33"/>
  <c r="M9" i="33"/>
  <c r="M10" i="33"/>
  <c r="M11" i="33"/>
  <c r="M12" i="33"/>
  <c r="M13" i="33"/>
  <c r="M15" i="33"/>
  <c r="M16" i="33"/>
  <c r="M18" i="33"/>
  <c r="M19" i="33"/>
  <c r="M20" i="33"/>
  <c r="M21" i="33"/>
  <c r="M24" i="33"/>
  <c r="M25" i="33"/>
  <c r="M27" i="33"/>
  <c r="M29" i="33"/>
  <c r="M30" i="33"/>
  <c r="M31" i="33"/>
  <c r="M32" i="33"/>
  <c r="M34" i="33"/>
  <c r="M35" i="33"/>
  <c r="M36" i="33"/>
  <c r="M37" i="33"/>
  <c r="M38" i="33"/>
  <c r="M39" i="33"/>
  <c r="M40" i="33"/>
  <c r="M41" i="33"/>
  <c r="M43" i="33"/>
  <c r="M44" i="33"/>
  <c r="M45" i="33"/>
  <c r="M4" i="33"/>
  <c r="N237" i="33" l="1"/>
  <c r="M201" i="33"/>
  <c r="M211" i="33"/>
  <c r="M289" i="33"/>
  <c r="M306" i="33"/>
  <c r="N193" i="33"/>
  <c r="M229" i="33"/>
  <c r="M299" i="33"/>
  <c r="M236" i="33"/>
  <c r="M217" i="33"/>
  <c r="M243" i="33"/>
  <c r="M244" i="33"/>
  <c r="M245" i="33"/>
  <c r="M246" i="33"/>
  <c r="M247" i="33"/>
  <c r="M249" i="33"/>
  <c r="M250" i="33"/>
  <c r="M251" i="33"/>
  <c r="M252" i="33"/>
  <c r="M253" i="33"/>
  <c r="M254" i="33"/>
  <c r="M255" i="33"/>
  <c r="M256" i="33"/>
  <c r="M258" i="33"/>
  <c r="M259" i="33"/>
  <c r="M260" i="33"/>
  <c r="M261" i="33"/>
  <c r="M262" i="33"/>
  <c r="M263" i="33"/>
  <c r="M264" i="33"/>
  <c r="M265" i="33"/>
  <c r="M270" i="33"/>
  <c r="M272" i="33" s="1"/>
  <c r="M273" i="33"/>
  <c r="M274" i="33"/>
  <c r="M276" i="33"/>
  <c r="M241" i="33"/>
  <c r="M242" i="33"/>
  <c r="M240" i="33"/>
  <c r="K289" i="33"/>
  <c r="N277" i="33"/>
  <c r="K265" i="33"/>
  <c r="K266" i="33" s="1"/>
  <c r="N275" i="33"/>
  <c r="N257" i="33"/>
  <c r="N248" i="33"/>
  <c r="N278" i="33" l="1"/>
  <c r="M266" i="33"/>
  <c r="M330" i="33"/>
  <c r="G56" i="20"/>
  <c r="N449" i="33"/>
  <c r="N452" i="33" s="1"/>
  <c r="N443" i="33"/>
  <c r="N433" i="33"/>
  <c r="N427" i="33"/>
  <c r="N142" i="33"/>
  <c r="N128" i="33"/>
  <c r="N151" i="33" l="1"/>
  <c r="N455" i="33"/>
  <c r="L866" i="33"/>
  <c r="L870" i="33" s="1"/>
  <c r="L764" i="33"/>
  <c r="L757" i="33"/>
  <c r="L741" i="33"/>
  <c r="K741" i="33"/>
  <c r="L735" i="33"/>
  <c r="L696" i="33"/>
  <c r="M696" i="33" s="1"/>
  <c r="L708" i="33"/>
  <c r="M708" i="33" s="1"/>
  <c r="L705" i="33"/>
  <c r="M705" i="33" s="1"/>
  <c r="L701" i="33"/>
  <c r="M701" i="33" s="1"/>
  <c r="L692" i="33"/>
  <c r="M692" i="33" s="1"/>
  <c r="L687" i="33"/>
  <c r="M687" i="33" s="1"/>
  <c r="L684" i="33"/>
  <c r="M684" i="33" s="1"/>
  <c r="L675" i="33"/>
  <c r="M675" i="33" s="1"/>
  <c r="L664" i="33"/>
  <c r="M664" i="33" s="1"/>
  <c r="L651" i="33"/>
  <c r="M651" i="33" s="1"/>
  <c r="L648" i="33"/>
  <c r="M648" i="33" s="1"/>
  <c r="L643" i="33"/>
  <c r="M643" i="33" s="1"/>
  <c r="L641" i="33"/>
  <c r="M641" i="33" s="1"/>
  <c r="K641" i="33"/>
  <c r="L637" i="33"/>
  <c r="M637" i="33" s="1"/>
  <c r="L631" i="33"/>
  <c r="M631" i="33" s="1"/>
  <c r="L627" i="33"/>
  <c r="M627" i="33" s="1"/>
  <c r="L618" i="33"/>
  <c r="M618" i="33" s="1"/>
  <c r="L608" i="33"/>
  <c r="M608" i="33" s="1"/>
  <c r="L593" i="33"/>
  <c r="M593" i="33" s="1"/>
  <c r="L590" i="33"/>
  <c r="M590" i="33" s="1"/>
  <c r="L586" i="33"/>
  <c r="M586" i="33" s="1"/>
  <c r="L583" i="33"/>
  <c r="M583" i="33" s="1"/>
  <c r="K583" i="33"/>
  <c r="L579" i="33"/>
  <c r="M579" i="33" s="1"/>
  <c r="L574" i="33"/>
  <c r="M574" i="33" s="1"/>
  <c r="L571" i="33"/>
  <c r="M571" i="33" s="1"/>
  <c r="L561" i="33"/>
  <c r="M561" i="33" s="1"/>
  <c r="L550" i="33"/>
  <c r="M550" i="33" s="1"/>
  <c r="L531" i="33"/>
  <c r="M531" i="33" s="1"/>
  <c r="L537" i="33"/>
  <c r="M537" i="33" s="1"/>
  <c r="L528" i="33"/>
  <c r="M528" i="33" s="1"/>
  <c r="K528" i="33"/>
  <c r="L524" i="33"/>
  <c r="M524" i="33" s="1"/>
  <c r="L522" i="33"/>
  <c r="M522" i="33" s="1"/>
  <c r="M520" i="33"/>
  <c r="L510" i="33"/>
  <c r="M510" i="33" s="1"/>
  <c r="L503" i="33"/>
  <c r="M491" i="33"/>
  <c r="L486" i="33"/>
  <c r="M486" i="33" s="1"/>
  <c r="L484" i="33"/>
  <c r="M484" i="33" s="1"/>
  <c r="L481" i="33"/>
  <c r="M481" i="33" s="1"/>
  <c r="L478" i="33"/>
  <c r="M478" i="33" s="1"/>
  <c r="L472" i="33"/>
  <c r="M472" i="33" s="1"/>
  <c r="L467" i="33"/>
  <c r="M467" i="33" s="1"/>
  <c r="K467" i="33"/>
  <c r="L452" i="33"/>
  <c r="M452" i="33" s="1"/>
  <c r="L454" i="33"/>
  <c r="M454" i="33" s="1"/>
  <c r="L448" i="33"/>
  <c r="M448" i="33" s="1"/>
  <c r="L445" i="33"/>
  <c r="M445" i="33" s="1"/>
  <c r="L443" i="33"/>
  <c r="M443" i="33" s="1"/>
  <c r="L433" i="33"/>
  <c r="M433" i="33" s="1"/>
  <c r="L427" i="33"/>
  <c r="L277" i="33"/>
  <c r="M277" i="33" s="1"/>
  <c r="L275" i="33"/>
  <c r="M275" i="33" s="1"/>
  <c r="K275" i="33"/>
  <c r="L192" i="33"/>
  <c r="M192" i="33" s="1"/>
  <c r="L190" i="33"/>
  <c r="M190" i="33" s="1"/>
  <c r="I4" i="33"/>
  <c r="I5" i="33"/>
  <c r="I6" i="33"/>
  <c r="I7" i="33"/>
  <c r="I9" i="33"/>
  <c r="I10" i="33"/>
  <c r="I11" i="33"/>
  <c r="I12" i="33"/>
  <c r="I13" i="33"/>
  <c r="F14" i="33"/>
  <c r="G14" i="33"/>
  <c r="H14" i="33"/>
  <c r="J14" i="33"/>
  <c r="K14" i="33"/>
  <c r="L14" i="33"/>
  <c r="M14" i="33" s="1"/>
  <c r="I15" i="33"/>
  <c r="K15" i="33" s="1"/>
  <c r="K17" i="33" s="1"/>
  <c r="I16" i="33"/>
  <c r="F17" i="33"/>
  <c r="G17" i="33"/>
  <c r="H17" i="33"/>
  <c r="L17" i="33"/>
  <c r="M17" i="33" s="1"/>
  <c r="I18" i="33"/>
  <c r="I23" i="33" s="1"/>
  <c r="I24" i="33"/>
  <c r="I26" i="33" s="1"/>
  <c r="F26" i="33"/>
  <c r="G26" i="33"/>
  <c r="H26" i="33"/>
  <c r="J26" i="33"/>
  <c r="K26" i="33"/>
  <c r="L26" i="33"/>
  <c r="M26" i="33" s="1"/>
  <c r="I27" i="33"/>
  <c r="I28" i="33" s="1"/>
  <c r="F28" i="33"/>
  <c r="G28" i="33"/>
  <c r="H28" i="33"/>
  <c r="J28" i="33"/>
  <c r="K28" i="33"/>
  <c r="L28" i="33"/>
  <c r="M28" i="33" s="1"/>
  <c r="I32" i="33"/>
  <c r="I33" i="33" s="1"/>
  <c r="F33" i="33"/>
  <c r="G33" i="33"/>
  <c r="H33" i="33"/>
  <c r="J33" i="33"/>
  <c r="K33" i="33"/>
  <c r="L33" i="33"/>
  <c r="M33" i="33" s="1"/>
  <c r="I34" i="33"/>
  <c r="J34" i="33"/>
  <c r="J42" i="33" s="1"/>
  <c r="I35" i="33"/>
  <c r="I37" i="33"/>
  <c r="I38" i="33"/>
  <c r="H39" i="33"/>
  <c r="H42" i="33" s="1"/>
  <c r="I40" i="33"/>
  <c r="F42" i="33"/>
  <c r="G42" i="33"/>
  <c r="K42" i="33"/>
  <c r="L42" i="33"/>
  <c r="F46" i="33"/>
  <c r="G46" i="33"/>
  <c r="H46" i="33"/>
  <c r="I46" i="33"/>
  <c r="J46" i="33"/>
  <c r="K46" i="33"/>
  <c r="L46" i="33"/>
  <c r="M46" i="33" s="1"/>
  <c r="C47" i="33"/>
  <c r="D47" i="33"/>
  <c r="E47" i="33"/>
  <c r="I49" i="33"/>
  <c r="G50" i="33"/>
  <c r="H50" i="33"/>
  <c r="I50" i="33"/>
  <c r="J50" i="33"/>
  <c r="I51" i="33"/>
  <c r="I56" i="33" s="1"/>
  <c r="I54" i="33"/>
  <c r="I55" i="33"/>
  <c r="K55" i="33"/>
  <c r="K56" i="33"/>
  <c r="J58" i="33"/>
  <c r="I59" i="33"/>
  <c r="F60" i="33"/>
  <c r="G60" i="33"/>
  <c r="H60" i="33"/>
  <c r="L60" i="33"/>
  <c r="M60" i="33" s="1"/>
  <c r="F69" i="33"/>
  <c r="G69" i="33"/>
  <c r="H69" i="33"/>
  <c r="I69" i="33"/>
  <c r="J69" i="33"/>
  <c r="K69" i="33"/>
  <c r="L69" i="33"/>
  <c r="M69" i="33" s="1"/>
  <c r="I70" i="33"/>
  <c r="I72" i="33"/>
  <c r="I75" i="33"/>
  <c r="J75" i="33"/>
  <c r="I76" i="33"/>
  <c r="F77" i="33"/>
  <c r="G77" i="33"/>
  <c r="H77" i="33"/>
  <c r="K77" i="33"/>
  <c r="L77" i="33"/>
  <c r="M77" i="33" s="1"/>
  <c r="F79" i="33"/>
  <c r="G79" i="33"/>
  <c r="H79" i="33"/>
  <c r="I79" i="33"/>
  <c r="K79" i="33"/>
  <c r="L79" i="33"/>
  <c r="M79" i="33" s="1"/>
  <c r="F83" i="33"/>
  <c r="G83" i="33"/>
  <c r="H83" i="33"/>
  <c r="I83" i="33"/>
  <c r="J83" i="33"/>
  <c r="K83" i="33"/>
  <c r="L83" i="33"/>
  <c r="M83" i="33" s="1"/>
  <c r="K88" i="33"/>
  <c r="J86" i="33"/>
  <c r="F88" i="33"/>
  <c r="G88" i="33"/>
  <c r="H88" i="33"/>
  <c r="I88" i="33"/>
  <c r="L88" i="33"/>
  <c r="M88" i="33" s="1"/>
  <c r="J91" i="33"/>
  <c r="F91" i="33"/>
  <c r="G91" i="33"/>
  <c r="H91" i="33"/>
  <c r="I91" i="33"/>
  <c r="K91" i="33"/>
  <c r="L91" i="33"/>
  <c r="M91" i="33" s="1"/>
  <c r="J92" i="33"/>
  <c r="F94" i="33"/>
  <c r="G94" i="33"/>
  <c r="H94" i="33"/>
  <c r="I94" i="33"/>
  <c r="I798" i="33" s="1"/>
  <c r="K94" i="33"/>
  <c r="L94" i="33"/>
  <c r="M94" i="33" s="1"/>
  <c r="J95" i="33"/>
  <c r="J799" i="33" s="1"/>
  <c r="I96" i="33"/>
  <c r="I105" i="33" s="1"/>
  <c r="J99" i="33"/>
  <c r="F105" i="33"/>
  <c r="G105" i="33"/>
  <c r="H105" i="33"/>
  <c r="L105" i="33"/>
  <c r="M105" i="33" s="1"/>
  <c r="C106" i="33"/>
  <c r="D106" i="33"/>
  <c r="E106" i="33"/>
  <c r="I107" i="33"/>
  <c r="G108" i="33"/>
  <c r="H108" i="33"/>
  <c r="I108" i="33"/>
  <c r="J108" i="33"/>
  <c r="I109" i="33"/>
  <c r="I113" i="33" s="1"/>
  <c r="I111" i="33"/>
  <c r="K112" i="33"/>
  <c r="K113" i="33"/>
  <c r="J116" i="33"/>
  <c r="K116" i="33"/>
  <c r="F118" i="33"/>
  <c r="G118" i="33"/>
  <c r="H118" i="33"/>
  <c r="L118" i="33"/>
  <c r="M118" i="33" s="1"/>
  <c r="J119" i="33"/>
  <c r="J120" i="33"/>
  <c r="J123" i="33"/>
  <c r="J124" i="33"/>
  <c r="J125" i="33"/>
  <c r="F128" i="33"/>
  <c r="G128" i="33"/>
  <c r="H128" i="33"/>
  <c r="I128" i="33"/>
  <c r="K128" i="33"/>
  <c r="L128" i="33"/>
  <c r="M128" i="33" s="1"/>
  <c r="I129" i="33"/>
  <c r="J130" i="33"/>
  <c r="I131" i="33"/>
  <c r="J133" i="33"/>
  <c r="I135" i="33"/>
  <c r="J135" i="33"/>
  <c r="F136" i="33"/>
  <c r="G136" i="33"/>
  <c r="H136" i="33"/>
  <c r="K136" i="33"/>
  <c r="L136" i="33"/>
  <c r="M136" i="33" s="1"/>
  <c r="F138" i="33"/>
  <c r="G138" i="33"/>
  <c r="H138" i="33"/>
  <c r="I138" i="33"/>
  <c r="K138" i="33"/>
  <c r="L138" i="33"/>
  <c r="M138" i="33" s="1"/>
  <c r="J139" i="33"/>
  <c r="J140" i="33"/>
  <c r="F142" i="33"/>
  <c r="G142" i="33"/>
  <c r="H142" i="33"/>
  <c r="I142" i="33"/>
  <c r="K142" i="33"/>
  <c r="L142" i="33"/>
  <c r="M142" i="33" s="1"/>
  <c r="F146" i="33"/>
  <c r="G146" i="33"/>
  <c r="H146" i="33"/>
  <c r="I146" i="33"/>
  <c r="K146" i="33"/>
  <c r="L146" i="33"/>
  <c r="M146" i="33" s="1"/>
  <c r="J147" i="33"/>
  <c r="F150" i="33"/>
  <c r="G150" i="33"/>
  <c r="H150" i="33"/>
  <c r="I150" i="33"/>
  <c r="K150" i="33"/>
  <c r="L150" i="33"/>
  <c r="M150" i="33" s="1"/>
  <c r="C151" i="33"/>
  <c r="D151" i="33"/>
  <c r="E151" i="33"/>
  <c r="I155" i="33"/>
  <c r="I159" i="33" s="1"/>
  <c r="I157" i="33"/>
  <c r="K159" i="33"/>
  <c r="J162" i="33"/>
  <c r="F163" i="33"/>
  <c r="G163" i="33"/>
  <c r="H163" i="33"/>
  <c r="L163" i="33"/>
  <c r="M163" i="33" s="1"/>
  <c r="F171" i="33"/>
  <c r="G171" i="33"/>
  <c r="H171" i="33"/>
  <c r="I171" i="33"/>
  <c r="K171" i="33"/>
  <c r="L171" i="33"/>
  <c r="M171" i="33" s="1"/>
  <c r="F177" i="33"/>
  <c r="G177" i="33"/>
  <c r="H177" i="33"/>
  <c r="I177" i="33"/>
  <c r="J177" i="33"/>
  <c r="K177" i="33"/>
  <c r="L177" i="33"/>
  <c r="M177" i="33" s="1"/>
  <c r="F179" i="33"/>
  <c r="G179" i="33"/>
  <c r="H179" i="33"/>
  <c r="I179" i="33"/>
  <c r="J179" i="33"/>
  <c r="K179" i="33"/>
  <c r="L179" i="33"/>
  <c r="M179" i="33" s="1"/>
  <c r="F185" i="33"/>
  <c r="G185" i="33"/>
  <c r="H185" i="33"/>
  <c r="I185" i="33"/>
  <c r="J185" i="33"/>
  <c r="K185" i="33"/>
  <c r="L185" i="33"/>
  <c r="M185" i="33" s="1"/>
  <c r="F188" i="33"/>
  <c r="G188" i="33"/>
  <c r="H188" i="33"/>
  <c r="I188" i="33"/>
  <c r="J188" i="33"/>
  <c r="K188" i="33"/>
  <c r="L188" i="33"/>
  <c r="M188" i="33" s="1"/>
  <c r="G190" i="33"/>
  <c r="H190" i="33"/>
  <c r="I190" i="33"/>
  <c r="J190" i="33"/>
  <c r="K190" i="33"/>
  <c r="J192" i="33"/>
  <c r="G192" i="33"/>
  <c r="H192" i="33"/>
  <c r="I192" i="33"/>
  <c r="K192" i="33"/>
  <c r="I195" i="33"/>
  <c r="G196" i="33"/>
  <c r="H196" i="33"/>
  <c r="I196" i="33"/>
  <c r="J196" i="33"/>
  <c r="J199" i="33"/>
  <c r="J200" i="33"/>
  <c r="F201" i="33"/>
  <c r="G201" i="33"/>
  <c r="H201" i="33"/>
  <c r="I201" i="33"/>
  <c r="K201" i="33"/>
  <c r="L201" i="33"/>
  <c r="J204" i="33"/>
  <c r="J210" i="33"/>
  <c r="F211" i="33"/>
  <c r="G211" i="33"/>
  <c r="H211" i="33"/>
  <c r="I211" i="33"/>
  <c r="K211" i="33"/>
  <c r="L211" i="33"/>
  <c r="K217" i="33"/>
  <c r="J213" i="33"/>
  <c r="J216" i="33"/>
  <c r="F217" i="33"/>
  <c r="G217" i="33"/>
  <c r="H217" i="33"/>
  <c r="I217" i="33"/>
  <c r="L217" i="33"/>
  <c r="F219" i="33"/>
  <c r="G219" i="33"/>
  <c r="H219" i="33"/>
  <c r="I219" i="33"/>
  <c r="K219" i="33"/>
  <c r="L219" i="33"/>
  <c r="M219" i="33" s="1"/>
  <c r="J221" i="33"/>
  <c r="J222" i="33"/>
  <c r="J223" i="33"/>
  <c r="F225" i="33"/>
  <c r="G225" i="33"/>
  <c r="H225" i="33"/>
  <c r="I225" i="33"/>
  <c r="K225" i="33"/>
  <c r="L225" i="33"/>
  <c r="J226" i="33"/>
  <c r="J228" i="33"/>
  <c r="F229" i="33"/>
  <c r="G229" i="33"/>
  <c r="H229" i="33"/>
  <c r="I229" i="33"/>
  <c r="K229" i="33"/>
  <c r="L229" i="33"/>
  <c r="G231" i="33"/>
  <c r="H231" i="33"/>
  <c r="I231" i="33"/>
  <c r="J231" i="33"/>
  <c r="K231" i="33"/>
  <c r="L231" i="33"/>
  <c r="M231" i="33" s="1"/>
  <c r="I232" i="33"/>
  <c r="I236" i="33" s="1"/>
  <c r="J233" i="33"/>
  <c r="J234" i="33"/>
  <c r="J235" i="33"/>
  <c r="F236" i="33"/>
  <c r="G236" i="33"/>
  <c r="H236" i="33"/>
  <c r="K236" i="33"/>
  <c r="L236" i="33"/>
  <c r="C237" i="33"/>
  <c r="D237" i="33"/>
  <c r="E237" i="33"/>
  <c r="G240" i="33"/>
  <c r="G248" i="33" s="1"/>
  <c r="I240" i="33"/>
  <c r="I243" i="33" s="1"/>
  <c r="J240" i="33"/>
  <c r="J241" i="33"/>
  <c r="J246" i="33"/>
  <c r="F248" i="33"/>
  <c r="H248" i="33"/>
  <c r="K248" i="33"/>
  <c r="L248" i="33"/>
  <c r="J249" i="33"/>
  <c r="J250" i="33"/>
  <c r="J251" i="33"/>
  <c r="F257" i="33"/>
  <c r="G257" i="33"/>
  <c r="H257" i="33"/>
  <c r="I257" i="33"/>
  <c r="K257" i="33"/>
  <c r="L257" i="33"/>
  <c r="M257" i="33" s="1"/>
  <c r="J262" i="33"/>
  <c r="J269" i="33" s="1"/>
  <c r="F269" i="33"/>
  <c r="G269" i="33"/>
  <c r="H269" i="33"/>
  <c r="I269" i="33"/>
  <c r="F272" i="33"/>
  <c r="G272" i="33"/>
  <c r="H272" i="33"/>
  <c r="I272" i="33"/>
  <c r="J272" i="33"/>
  <c r="J274" i="33"/>
  <c r="F275" i="33"/>
  <c r="G275" i="33"/>
  <c r="H275" i="33"/>
  <c r="I275" i="33"/>
  <c r="G277" i="33"/>
  <c r="H277" i="33"/>
  <c r="I277" i="33"/>
  <c r="J277" i="33"/>
  <c r="K277" i="33"/>
  <c r="C278" i="33"/>
  <c r="D278" i="33"/>
  <c r="E278" i="33"/>
  <c r="I279" i="33"/>
  <c r="G280" i="33"/>
  <c r="H280" i="33"/>
  <c r="I280" i="33"/>
  <c r="J280" i="33"/>
  <c r="I281" i="33"/>
  <c r="I285" i="33" s="1"/>
  <c r="J282" i="33"/>
  <c r="J287" i="33"/>
  <c r="F289" i="33"/>
  <c r="G289" i="33"/>
  <c r="H289" i="33"/>
  <c r="L289" i="33"/>
  <c r="F299" i="33"/>
  <c r="G299" i="33"/>
  <c r="H299" i="33"/>
  <c r="I299" i="33"/>
  <c r="J299" i="33"/>
  <c r="L299" i="33"/>
  <c r="I304" i="33"/>
  <c r="I306" i="33" s="1"/>
  <c r="F306" i="33"/>
  <c r="G306" i="33"/>
  <c r="H306" i="33"/>
  <c r="K306" i="33"/>
  <c r="L306" i="33"/>
  <c r="J307" i="33"/>
  <c r="J310" i="33"/>
  <c r="F312" i="33"/>
  <c r="G312" i="33"/>
  <c r="H312" i="33"/>
  <c r="I312" i="33"/>
  <c r="K312" i="33"/>
  <c r="L312" i="33"/>
  <c r="F317" i="33"/>
  <c r="G317" i="33"/>
  <c r="H317" i="33"/>
  <c r="I317" i="33"/>
  <c r="J317" i="33"/>
  <c r="K317" i="33"/>
  <c r="L317" i="33"/>
  <c r="F321" i="33"/>
  <c r="G321" i="33"/>
  <c r="H321" i="33"/>
  <c r="I321" i="33"/>
  <c r="J321" i="33"/>
  <c r="K321" i="33"/>
  <c r="L321" i="33"/>
  <c r="F325" i="33"/>
  <c r="G325" i="33"/>
  <c r="H325" i="33"/>
  <c r="I325" i="33"/>
  <c r="K325" i="33"/>
  <c r="L325" i="33"/>
  <c r="J327" i="33"/>
  <c r="J328" i="33"/>
  <c r="F329" i="33"/>
  <c r="G329" i="33"/>
  <c r="H329" i="33"/>
  <c r="I329" i="33"/>
  <c r="K329" i="33"/>
  <c r="L329" i="33"/>
  <c r="C330" i="33"/>
  <c r="D330" i="33"/>
  <c r="E330" i="33"/>
  <c r="I332" i="33"/>
  <c r="G333" i="33"/>
  <c r="H333" i="33"/>
  <c r="I333" i="33"/>
  <c r="J333" i="33"/>
  <c r="J334" i="33"/>
  <c r="J335" i="33"/>
  <c r="F337" i="33"/>
  <c r="G337" i="33"/>
  <c r="H337" i="33"/>
  <c r="I337" i="33"/>
  <c r="K337" i="33"/>
  <c r="L337" i="33"/>
  <c r="M337" i="33" s="1"/>
  <c r="F340" i="33"/>
  <c r="G340" i="33"/>
  <c r="H340" i="33"/>
  <c r="I340" i="33"/>
  <c r="J340" i="33"/>
  <c r="K340" i="33"/>
  <c r="L340" i="33"/>
  <c r="M340" i="33" s="1"/>
  <c r="J341" i="33"/>
  <c r="J342" i="33" s="1"/>
  <c r="G342" i="33"/>
  <c r="H342" i="33"/>
  <c r="I342" i="33"/>
  <c r="K342" i="33"/>
  <c r="L342" i="33"/>
  <c r="M342" i="33" s="1"/>
  <c r="J343" i="33"/>
  <c r="J344" i="33" s="1"/>
  <c r="F344" i="33"/>
  <c r="G344" i="33"/>
  <c r="H344" i="33"/>
  <c r="I344" i="33"/>
  <c r="K344" i="33"/>
  <c r="L344" i="33"/>
  <c r="M344" i="33" s="1"/>
  <c r="J345" i="33"/>
  <c r="J346" i="33" s="1"/>
  <c r="F346" i="33"/>
  <c r="G346" i="33"/>
  <c r="H346" i="33"/>
  <c r="I346" i="33"/>
  <c r="K346" i="33"/>
  <c r="L346" i="33"/>
  <c r="M346" i="33" s="1"/>
  <c r="C347" i="33"/>
  <c r="D347" i="33"/>
  <c r="E347" i="33"/>
  <c r="F352" i="33"/>
  <c r="G352" i="33"/>
  <c r="H352" i="33"/>
  <c r="I352" i="33"/>
  <c r="J352" i="33"/>
  <c r="K352" i="33"/>
  <c r="L352" i="33"/>
  <c r="J353" i="33"/>
  <c r="J355" i="33" s="1"/>
  <c r="F355" i="33"/>
  <c r="G355" i="33"/>
  <c r="H355" i="33"/>
  <c r="I355" i="33"/>
  <c r="K355" i="33"/>
  <c r="L355" i="33"/>
  <c r="M355" i="33" s="1"/>
  <c r="J356" i="33"/>
  <c r="J359" i="33" s="1"/>
  <c r="F359" i="33"/>
  <c r="G359" i="33"/>
  <c r="H359" i="33"/>
  <c r="I359" i="33"/>
  <c r="K359" i="33"/>
  <c r="L359" i="33"/>
  <c r="M359" i="33" s="1"/>
  <c r="J361" i="33"/>
  <c r="J362" i="33"/>
  <c r="F363" i="33"/>
  <c r="G363" i="33"/>
  <c r="H363" i="33"/>
  <c r="I363" i="33"/>
  <c r="K363" i="33"/>
  <c r="L363" i="33"/>
  <c r="M363" i="33" s="1"/>
  <c r="C364" i="33"/>
  <c r="D364" i="33"/>
  <c r="E364" i="33"/>
  <c r="I366" i="33"/>
  <c r="G367" i="33"/>
  <c r="H367" i="33"/>
  <c r="I367" i="33"/>
  <c r="J367" i="33"/>
  <c r="J368" i="33"/>
  <c r="J369" i="33" s="1"/>
  <c r="F369" i="33"/>
  <c r="G369" i="33"/>
  <c r="H369" i="33"/>
  <c r="I369" i="33"/>
  <c r="K369" i="33"/>
  <c r="L369" i="33"/>
  <c r="M369" i="33" s="1"/>
  <c r="J370" i="33"/>
  <c r="J371" i="33" s="1"/>
  <c r="F371" i="33"/>
  <c r="G371" i="33"/>
  <c r="H371" i="33"/>
  <c r="I371" i="33"/>
  <c r="M371" i="33"/>
  <c r="J372" i="33"/>
  <c r="J373" i="33" s="1"/>
  <c r="F373" i="33"/>
  <c r="G373" i="33"/>
  <c r="H373" i="33"/>
  <c r="I373" i="33"/>
  <c r="K373" i="33"/>
  <c r="L373" i="33"/>
  <c r="M373" i="33" s="1"/>
  <c r="J374" i="33"/>
  <c r="J375" i="33" s="1"/>
  <c r="F375" i="33"/>
  <c r="G375" i="33"/>
  <c r="H375" i="33"/>
  <c r="I375" i="33"/>
  <c r="K375" i="33"/>
  <c r="L375" i="33"/>
  <c r="M375" i="33" s="1"/>
  <c r="C376" i="33"/>
  <c r="D376" i="33"/>
  <c r="E376" i="33"/>
  <c r="I378" i="33"/>
  <c r="G379" i="33"/>
  <c r="H379" i="33"/>
  <c r="I379" i="33"/>
  <c r="J379" i="33"/>
  <c r="I380" i="33"/>
  <c r="I383" i="33" s="1"/>
  <c r="F388" i="33"/>
  <c r="G388" i="33"/>
  <c r="H388" i="33"/>
  <c r="K388" i="33"/>
  <c r="L388" i="33"/>
  <c r="I391" i="33"/>
  <c r="I398" i="33" s="1"/>
  <c r="J395" i="33"/>
  <c r="J397" i="33"/>
  <c r="F398" i="33"/>
  <c r="G398" i="33"/>
  <c r="H398" i="33"/>
  <c r="K398" i="33"/>
  <c r="L398" i="33"/>
  <c r="F403" i="33"/>
  <c r="G403" i="33"/>
  <c r="H403" i="33"/>
  <c r="I403" i="33"/>
  <c r="J403" i="33"/>
  <c r="K403" i="33"/>
  <c r="L403" i="33"/>
  <c r="J405" i="33"/>
  <c r="F405" i="33"/>
  <c r="G405" i="33"/>
  <c r="H405" i="33"/>
  <c r="I405" i="33"/>
  <c r="K405" i="33"/>
  <c r="L405" i="33"/>
  <c r="F409" i="33"/>
  <c r="G409" i="33"/>
  <c r="H409" i="33"/>
  <c r="I409" i="33"/>
  <c r="J409" i="33"/>
  <c r="K409" i="33"/>
  <c r="L409" i="33"/>
  <c r="M409" i="33" s="1"/>
  <c r="F412" i="33"/>
  <c r="G412" i="33"/>
  <c r="H412" i="33"/>
  <c r="I412" i="33"/>
  <c r="J412" i="33"/>
  <c r="K412" i="33"/>
  <c r="L412" i="33"/>
  <c r="M412" i="33" s="1"/>
  <c r="J413" i="33"/>
  <c r="F414" i="33"/>
  <c r="G414" i="33"/>
  <c r="H414" i="33"/>
  <c r="I414" i="33"/>
  <c r="K414" i="33"/>
  <c r="L414" i="33"/>
  <c r="M414" i="33" s="1"/>
  <c r="C415" i="33"/>
  <c r="D415" i="33"/>
  <c r="E415" i="33"/>
  <c r="I417" i="33"/>
  <c r="G418" i="33"/>
  <c r="H418" i="33"/>
  <c r="J418" i="33"/>
  <c r="I419" i="33"/>
  <c r="I422" i="33" s="1"/>
  <c r="I421" i="33"/>
  <c r="F427" i="33"/>
  <c r="G427" i="33"/>
  <c r="H427" i="33"/>
  <c r="K427" i="33"/>
  <c r="J430" i="33"/>
  <c r="J433" i="33" s="1"/>
  <c r="F433" i="33"/>
  <c r="G433" i="33"/>
  <c r="H433" i="33"/>
  <c r="I433" i="33"/>
  <c r="K433" i="33"/>
  <c r="J435" i="33"/>
  <c r="J436" i="33"/>
  <c r="J438" i="33"/>
  <c r="I441" i="33"/>
  <c r="I442" i="33"/>
  <c r="F443" i="33"/>
  <c r="G443" i="33"/>
  <c r="H443" i="33"/>
  <c r="K443" i="33"/>
  <c r="F445" i="33"/>
  <c r="G445" i="33"/>
  <c r="H445" i="33"/>
  <c r="I445" i="33"/>
  <c r="K445" i="33"/>
  <c r="F448" i="33"/>
  <c r="G448" i="33"/>
  <c r="H448" i="33"/>
  <c r="I448" i="33"/>
  <c r="J448" i="33"/>
  <c r="K448" i="33"/>
  <c r="F452" i="33"/>
  <c r="G452" i="33"/>
  <c r="H452" i="33"/>
  <c r="I452" i="33"/>
  <c r="K452" i="33"/>
  <c r="J453" i="33"/>
  <c r="J454" i="33" s="1"/>
  <c r="G454" i="33"/>
  <c r="H454" i="33"/>
  <c r="I454" i="33"/>
  <c r="K454" i="33"/>
  <c r="C455" i="33"/>
  <c r="D455" i="33"/>
  <c r="E455" i="33"/>
  <c r="I464" i="33"/>
  <c r="G465" i="33"/>
  <c r="H465" i="33"/>
  <c r="I465" i="33"/>
  <c r="J465" i="33"/>
  <c r="I468" i="33"/>
  <c r="J468" i="33"/>
  <c r="I469" i="33"/>
  <c r="J469" i="33"/>
  <c r="I471" i="33"/>
  <c r="J471" i="33"/>
  <c r="F472" i="33"/>
  <c r="G472" i="33"/>
  <c r="H472" i="33"/>
  <c r="K472" i="33"/>
  <c r="I473" i="33"/>
  <c r="J473" i="33"/>
  <c r="K473" i="33"/>
  <c r="I474" i="33"/>
  <c r="J474" i="33"/>
  <c r="K474" i="33"/>
  <c r="I475" i="33"/>
  <c r="J475" i="33"/>
  <c r="K475" i="33"/>
  <c r="F478" i="33"/>
  <c r="G478" i="33"/>
  <c r="H478" i="33"/>
  <c r="F481" i="33"/>
  <c r="G481" i="33"/>
  <c r="H481" i="33"/>
  <c r="I481" i="33"/>
  <c r="J481" i="33"/>
  <c r="K481" i="33"/>
  <c r="F484" i="33"/>
  <c r="G484" i="33"/>
  <c r="H484" i="33"/>
  <c r="I484" i="33"/>
  <c r="J484" i="33"/>
  <c r="K484" i="33"/>
  <c r="F486" i="33"/>
  <c r="G486" i="33"/>
  <c r="H486" i="33"/>
  <c r="I486" i="33"/>
  <c r="J486" i="33"/>
  <c r="K486" i="33"/>
  <c r="H487" i="33"/>
  <c r="H491" i="33" s="1"/>
  <c r="F491" i="33"/>
  <c r="G491" i="33"/>
  <c r="I491" i="33"/>
  <c r="J491" i="33"/>
  <c r="C492" i="33"/>
  <c r="D492" i="33"/>
  <c r="E492" i="33"/>
  <c r="I493" i="33"/>
  <c r="G494" i="33"/>
  <c r="H494" i="33"/>
  <c r="I494" i="33"/>
  <c r="J494" i="33"/>
  <c r="G495" i="33"/>
  <c r="G503" i="33" s="1"/>
  <c r="I495" i="33"/>
  <c r="I499" i="33" s="1"/>
  <c r="I496" i="33"/>
  <c r="F503" i="33"/>
  <c r="H503" i="33"/>
  <c r="K503" i="33"/>
  <c r="F510" i="33"/>
  <c r="G510" i="33"/>
  <c r="H510" i="33"/>
  <c r="I510" i="33"/>
  <c r="J510" i="33"/>
  <c r="K510" i="33"/>
  <c r="F520" i="33"/>
  <c r="G520" i="33"/>
  <c r="H520" i="33"/>
  <c r="I520" i="33"/>
  <c r="J520" i="33"/>
  <c r="F522" i="33"/>
  <c r="G522" i="33"/>
  <c r="H522" i="33"/>
  <c r="I522" i="33"/>
  <c r="J522" i="33"/>
  <c r="K522" i="33"/>
  <c r="F524" i="33"/>
  <c r="G524" i="33"/>
  <c r="H524" i="33"/>
  <c r="I524" i="33"/>
  <c r="J524" i="33"/>
  <c r="K524" i="33"/>
  <c r="F528" i="33"/>
  <c r="G528" i="33"/>
  <c r="H528" i="33"/>
  <c r="I528" i="33"/>
  <c r="J528" i="33"/>
  <c r="F531" i="33"/>
  <c r="G531" i="33"/>
  <c r="H531" i="33"/>
  <c r="I531" i="33"/>
  <c r="J531" i="33"/>
  <c r="K531" i="33"/>
  <c r="J533" i="33"/>
  <c r="I535" i="33"/>
  <c r="I537" i="33" s="1"/>
  <c r="J535" i="33"/>
  <c r="F537" i="33"/>
  <c r="G537" i="33"/>
  <c r="H537" i="33"/>
  <c r="K537" i="33"/>
  <c r="C538" i="33"/>
  <c r="D538" i="33"/>
  <c r="E538" i="33"/>
  <c r="I540" i="33"/>
  <c r="G541" i="33"/>
  <c r="H541" i="33"/>
  <c r="I541" i="33"/>
  <c r="J541" i="33"/>
  <c r="I542" i="33"/>
  <c r="I545" i="33" s="1"/>
  <c r="I543" i="33"/>
  <c r="K550" i="33"/>
  <c r="F550" i="33"/>
  <c r="G550" i="33"/>
  <c r="H550" i="33"/>
  <c r="G561" i="33"/>
  <c r="H561" i="33"/>
  <c r="I561" i="33"/>
  <c r="K561" i="33"/>
  <c r="J564" i="33"/>
  <c r="I567" i="33"/>
  <c r="I571" i="33" s="1"/>
  <c r="J570" i="33"/>
  <c r="F571" i="33"/>
  <c r="G571" i="33"/>
  <c r="H571" i="33"/>
  <c r="K571" i="33"/>
  <c r="J572" i="33"/>
  <c r="J573" i="33"/>
  <c r="F574" i="33"/>
  <c r="G574" i="33"/>
  <c r="H574" i="33"/>
  <c r="I574" i="33"/>
  <c r="K574" i="33"/>
  <c r="J576" i="33"/>
  <c r="J579" i="33" s="1"/>
  <c r="F579" i="33"/>
  <c r="G579" i="33"/>
  <c r="H579" i="33"/>
  <c r="I579" i="33"/>
  <c r="K579" i="33"/>
  <c r="J580" i="33"/>
  <c r="J581" i="33"/>
  <c r="J582" i="33"/>
  <c r="G583" i="33"/>
  <c r="H583" i="33"/>
  <c r="I583" i="33"/>
  <c r="J584" i="33"/>
  <c r="J585" i="33"/>
  <c r="F586" i="33"/>
  <c r="G586" i="33"/>
  <c r="H586" i="33"/>
  <c r="I586" i="33"/>
  <c r="K586" i="33"/>
  <c r="I588" i="33"/>
  <c r="I590" i="33" s="1"/>
  <c r="K590" i="33"/>
  <c r="J589" i="33"/>
  <c r="G590" i="33"/>
  <c r="H590" i="33"/>
  <c r="J592" i="33"/>
  <c r="J593" i="33" s="1"/>
  <c r="F593" i="33"/>
  <c r="G593" i="33"/>
  <c r="H593" i="33"/>
  <c r="I593" i="33"/>
  <c r="K593" i="33"/>
  <c r="C594" i="33"/>
  <c r="D594" i="33"/>
  <c r="E594" i="33"/>
  <c r="I598" i="33"/>
  <c r="G599" i="33"/>
  <c r="H599" i="33"/>
  <c r="I599" i="33"/>
  <c r="J599" i="33"/>
  <c r="I600" i="33"/>
  <c r="I604" i="33" s="1"/>
  <c r="F608" i="33"/>
  <c r="G608" i="33"/>
  <c r="H608" i="33"/>
  <c r="K608" i="33"/>
  <c r="I615" i="33"/>
  <c r="I618" i="33" s="1"/>
  <c r="G618" i="33"/>
  <c r="H618" i="33"/>
  <c r="K618" i="33"/>
  <c r="J621" i="33"/>
  <c r="I624" i="33"/>
  <c r="H625" i="33"/>
  <c r="H627" i="33" s="1"/>
  <c r="I625" i="33"/>
  <c r="F627" i="33"/>
  <c r="G627" i="33"/>
  <c r="K627" i="33"/>
  <c r="J628" i="33"/>
  <c r="J631" i="33" s="1"/>
  <c r="F631" i="33"/>
  <c r="G631" i="33"/>
  <c r="H631" i="33"/>
  <c r="I631" i="33"/>
  <c r="K631" i="33"/>
  <c r="H633" i="33"/>
  <c r="H637" i="33" s="1"/>
  <c r="F637" i="33"/>
  <c r="G637" i="33"/>
  <c r="I637" i="33"/>
  <c r="K637" i="33"/>
  <c r="J640" i="33"/>
  <c r="G641" i="33"/>
  <c r="H641" i="33"/>
  <c r="I641" i="33"/>
  <c r="J642" i="33"/>
  <c r="G643" i="33"/>
  <c r="H643" i="33"/>
  <c r="I643" i="33"/>
  <c r="K643" i="33"/>
  <c r="J644" i="33"/>
  <c r="G648" i="33"/>
  <c r="H648" i="33"/>
  <c r="I648" i="33"/>
  <c r="K648" i="33"/>
  <c r="J650" i="33"/>
  <c r="J651" i="33" s="1"/>
  <c r="F651" i="33"/>
  <c r="G651" i="33"/>
  <c r="H651" i="33"/>
  <c r="I651" i="33"/>
  <c r="K651" i="33"/>
  <c r="C652" i="33"/>
  <c r="D652" i="33"/>
  <c r="E652" i="33"/>
  <c r="I654" i="33"/>
  <c r="G655" i="33"/>
  <c r="H655" i="33"/>
  <c r="I655" i="33"/>
  <c r="J655" i="33"/>
  <c r="I656" i="33"/>
  <c r="I659" i="33" s="1"/>
  <c r="I658" i="33"/>
  <c r="G664" i="33"/>
  <c r="H664" i="33"/>
  <c r="K664" i="33"/>
  <c r="G675" i="33"/>
  <c r="H675" i="33"/>
  <c r="I675" i="33"/>
  <c r="K675" i="33"/>
  <c r="J678" i="33"/>
  <c r="J680" i="33"/>
  <c r="G684" i="33"/>
  <c r="H684" i="33"/>
  <c r="I684" i="33"/>
  <c r="K684" i="33"/>
  <c r="J685" i="33"/>
  <c r="G687" i="33"/>
  <c r="H687" i="33"/>
  <c r="I687" i="33"/>
  <c r="K687" i="33"/>
  <c r="J689" i="33"/>
  <c r="J690" i="33"/>
  <c r="J691" i="33"/>
  <c r="G692" i="33"/>
  <c r="H692" i="33"/>
  <c r="I692" i="33"/>
  <c r="K692" i="33"/>
  <c r="J693" i="33"/>
  <c r="G696" i="33"/>
  <c r="H696" i="33"/>
  <c r="I696" i="33"/>
  <c r="K696" i="33"/>
  <c r="J698" i="33"/>
  <c r="J700" i="33"/>
  <c r="G701" i="33"/>
  <c r="H701" i="33"/>
  <c r="I701" i="33"/>
  <c r="K701" i="33"/>
  <c r="I702" i="33"/>
  <c r="I703" i="33"/>
  <c r="G705" i="33"/>
  <c r="H705" i="33"/>
  <c r="K705" i="33"/>
  <c r="J706" i="33"/>
  <c r="I707" i="33"/>
  <c r="I708" i="33" s="1"/>
  <c r="J707" i="33"/>
  <c r="G708" i="33"/>
  <c r="H708" i="33"/>
  <c r="K708" i="33"/>
  <c r="I712" i="33"/>
  <c r="G713" i="33"/>
  <c r="H713" i="33"/>
  <c r="I713" i="33"/>
  <c r="J713" i="33"/>
  <c r="J718" i="33"/>
  <c r="J720" i="33" s="1"/>
  <c r="F720" i="33"/>
  <c r="G720" i="33"/>
  <c r="H720" i="33"/>
  <c r="I720" i="33"/>
  <c r="K720" i="33"/>
  <c r="F725" i="33"/>
  <c r="G725" i="33"/>
  <c r="H725" i="33"/>
  <c r="I725" i="33"/>
  <c r="J725" i="33"/>
  <c r="K725" i="33"/>
  <c r="I730" i="33"/>
  <c r="G731" i="33"/>
  <c r="H731" i="33"/>
  <c r="I731" i="33"/>
  <c r="J731" i="33"/>
  <c r="I734" i="33"/>
  <c r="I735" i="33" s="1"/>
  <c r="F735" i="33"/>
  <c r="G735" i="33"/>
  <c r="H735" i="33"/>
  <c r="J735" i="33"/>
  <c r="K735" i="33"/>
  <c r="H740" i="33"/>
  <c r="H741" i="33" s="1"/>
  <c r="C741" i="33"/>
  <c r="F741" i="33"/>
  <c r="G741" i="33"/>
  <c r="I741" i="33"/>
  <c r="J741" i="33"/>
  <c r="I749" i="33"/>
  <c r="G750" i="33"/>
  <c r="H750" i="33"/>
  <c r="I750" i="33"/>
  <c r="J750" i="33"/>
  <c r="F757" i="33"/>
  <c r="G757" i="33"/>
  <c r="H757" i="33"/>
  <c r="I757" i="33"/>
  <c r="J757" i="33"/>
  <c r="K757" i="33"/>
  <c r="I759" i="33"/>
  <c r="G760" i="33"/>
  <c r="H760" i="33"/>
  <c r="I760" i="33"/>
  <c r="J760" i="33"/>
  <c r="I762" i="33"/>
  <c r="I764" i="33" s="1"/>
  <c r="C764" i="33"/>
  <c r="F764" i="33"/>
  <c r="G764" i="33"/>
  <c r="H764" i="33"/>
  <c r="J764" i="33"/>
  <c r="K764" i="33"/>
  <c r="I788" i="33"/>
  <c r="I789" i="33" s="1"/>
  <c r="J788" i="33"/>
  <c r="J789" i="33" s="1"/>
  <c r="F779" i="33"/>
  <c r="G779" i="33"/>
  <c r="H779" i="33"/>
  <c r="I779" i="33"/>
  <c r="G788" i="33"/>
  <c r="H788" i="33"/>
  <c r="H789" i="33" s="1"/>
  <c r="F789" i="33"/>
  <c r="G793" i="33"/>
  <c r="H793" i="33"/>
  <c r="H794" i="33" s="1"/>
  <c r="I793" i="33"/>
  <c r="I794" i="33" s="1"/>
  <c r="F794" i="33"/>
  <c r="J794" i="33"/>
  <c r="A795" i="33"/>
  <c r="I804" i="33"/>
  <c r="I810" i="33" s="1"/>
  <c r="I814" i="33" s="1"/>
  <c r="F807" i="33"/>
  <c r="G807" i="33"/>
  <c r="H807" i="33"/>
  <c r="J807" i="33"/>
  <c r="F814" i="33"/>
  <c r="G814" i="33"/>
  <c r="H814" i="33"/>
  <c r="J814" i="33"/>
  <c r="G821" i="33"/>
  <c r="H821" i="33"/>
  <c r="I821" i="33"/>
  <c r="J821" i="33"/>
  <c r="I826" i="33"/>
  <c r="I827" i="33" s="1"/>
  <c r="F827" i="33"/>
  <c r="G827" i="33"/>
  <c r="H827" i="33"/>
  <c r="J827" i="33"/>
  <c r="J831" i="33"/>
  <c r="J832" i="33"/>
  <c r="F834" i="33"/>
  <c r="G834" i="33"/>
  <c r="H834" i="33"/>
  <c r="I834" i="33"/>
  <c r="F842" i="33"/>
  <c r="I837" i="33"/>
  <c r="I840" i="33" s="1"/>
  <c r="F840" i="33"/>
  <c r="G840" i="33"/>
  <c r="H840" i="33"/>
  <c r="J840" i="33"/>
  <c r="I850" i="33"/>
  <c r="G851" i="33"/>
  <c r="H851" i="33"/>
  <c r="I851" i="33"/>
  <c r="J851" i="33"/>
  <c r="J863" i="33"/>
  <c r="K863" i="33"/>
  <c r="I865" i="33"/>
  <c r="F866" i="33"/>
  <c r="F870" i="33" s="1"/>
  <c r="G866" i="33"/>
  <c r="G870" i="33" s="1"/>
  <c r="H866" i="33"/>
  <c r="H870" i="33" s="1"/>
  <c r="J867" i="33"/>
  <c r="G873" i="33"/>
  <c r="G888" i="33" s="1"/>
  <c r="J881" i="33"/>
  <c r="K881" i="33"/>
  <c r="K888" i="33" s="1"/>
  <c r="K890" i="33" s="1"/>
  <c r="F888" i="33"/>
  <c r="H888" i="33"/>
  <c r="I888" i="33"/>
  <c r="F890" i="33"/>
  <c r="E27" i="26"/>
  <c r="J663" i="33" s="1"/>
  <c r="E14" i="26"/>
  <c r="E26" i="24"/>
  <c r="E22" i="24"/>
  <c r="J607" i="33" s="1"/>
  <c r="E16" i="24"/>
  <c r="E15" i="24"/>
  <c r="E13" i="24"/>
  <c r="E12" i="24"/>
  <c r="E28" i="25"/>
  <c r="E17" i="25"/>
  <c r="E16" i="25"/>
  <c r="E14" i="25"/>
  <c r="E13" i="25"/>
  <c r="E29" i="22"/>
  <c r="J502" i="33" s="1"/>
  <c r="E18" i="22"/>
  <c r="E17" i="22"/>
  <c r="E15" i="22"/>
  <c r="E14" i="22"/>
  <c r="E41" i="20"/>
  <c r="E40" i="20"/>
  <c r="E23" i="20"/>
  <c r="J426" i="33" s="1"/>
  <c r="E15" i="20"/>
  <c r="E13" i="20"/>
  <c r="E10" i="20"/>
  <c r="E18" i="18"/>
  <c r="J387" i="33" s="1"/>
  <c r="E12" i="18"/>
  <c r="E11" i="18"/>
  <c r="E9" i="18"/>
  <c r="E8" i="18"/>
  <c r="J288" i="33"/>
  <c r="J247" i="33"/>
  <c r="N458" i="33" l="1"/>
  <c r="N459" i="33" s="1"/>
  <c r="M106" i="33"/>
  <c r="K538" i="33"/>
  <c r="L538" i="33"/>
  <c r="M709" i="33"/>
  <c r="M652" i="33"/>
  <c r="M594" i="33"/>
  <c r="M503" i="33"/>
  <c r="M538" i="33" s="1"/>
  <c r="M492" i="33"/>
  <c r="M427" i="33"/>
  <c r="M455" i="33" s="1"/>
  <c r="L455" i="33"/>
  <c r="K455" i="33"/>
  <c r="M415" i="33"/>
  <c r="L415" i="33"/>
  <c r="K415" i="33"/>
  <c r="M376" i="33"/>
  <c r="M352" i="33"/>
  <c r="M364" i="33" s="1"/>
  <c r="L364" i="33"/>
  <c r="M347" i="33"/>
  <c r="M42" i="33"/>
  <c r="M225" i="33"/>
  <c r="M237" i="33" s="1"/>
  <c r="K278" i="33"/>
  <c r="L278" i="33"/>
  <c r="M248" i="33"/>
  <c r="M278" i="33" s="1"/>
  <c r="I284" i="33"/>
  <c r="I289" i="33" s="1"/>
  <c r="I330" i="33" s="1"/>
  <c r="I603" i="33"/>
  <c r="I608" i="33" s="1"/>
  <c r="I112" i="33"/>
  <c r="I118" i="33" s="1"/>
  <c r="I627" i="33"/>
  <c r="I423" i="33"/>
  <c r="I427" i="33" s="1"/>
  <c r="H376" i="33"/>
  <c r="I890" i="33"/>
  <c r="I866" i="33"/>
  <c r="I870" i="33" s="1"/>
  <c r="K727" i="33"/>
  <c r="I472" i="33"/>
  <c r="G415" i="33"/>
  <c r="F106" i="33"/>
  <c r="J888" i="33"/>
  <c r="J890" i="33" s="1"/>
  <c r="I727" i="33"/>
  <c r="F415" i="33"/>
  <c r="H727" i="33"/>
  <c r="H106" i="33"/>
  <c r="F347" i="33"/>
  <c r="K163" i="33"/>
  <c r="K193" i="33" s="1"/>
  <c r="K60" i="33"/>
  <c r="K106" i="33" s="1"/>
  <c r="F844" i="33"/>
  <c r="I443" i="33"/>
  <c r="I364" i="33"/>
  <c r="I705" i="33"/>
  <c r="G652" i="33"/>
  <c r="K478" i="33"/>
  <c r="K492" i="33" s="1"/>
  <c r="K364" i="33"/>
  <c r="G364" i="33"/>
  <c r="G193" i="33"/>
  <c r="H709" i="33"/>
  <c r="H455" i="33"/>
  <c r="F492" i="33"/>
  <c r="H842" i="33"/>
  <c r="N794" i="33"/>
  <c r="F727" i="33"/>
  <c r="F594" i="33"/>
  <c r="G376" i="33"/>
  <c r="K376" i="33"/>
  <c r="H347" i="33"/>
  <c r="K347" i="33"/>
  <c r="L330" i="33"/>
  <c r="H278" i="33"/>
  <c r="F278" i="33"/>
  <c r="F237" i="33"/>
  <c r="L151" i="33"/>
  <c r="M151" i="33" s="1"/>
  <c r="L492" i="33"/>
  <c r="F455" i="33"/>
  <c r="H415" i="33"/>
  <c r="F193" i="33"/>
  <c r="G106" i="33"/>
  <c r="G844" i="33"/>
  <c r="L376" i="33"/>
  <c r="H364" i="33"/>
  <c r="G278" i="33"/>
  <c r="I42" i="33"/>
  <c r="H844" i="33"/>
  <c r="I244" i="33"/>
  <c r="I248" i="33" s="1"/>
  <c r="I278" i="33" s="1"/>
  <c r="F151" i="33"/>
  <c r="I77" i="33"/>
  <c r="F364" i="33"/>
  <c r="G890" i="33"/>
  <c r="K866" i="33"/>
  <c r="K870" i="33" s="1"/>
  <c r="J866" i="33"/>
  <c r="J870" i="33" s="1"/>
  <c r="J834" i="33"/>
  <c r="J842" i="33" s="1"/>
  <c r="H816" i="33"/>
  <c r="G709" i="33"/>
  <c r="H652" i="33"/>
  <c r="H538" i="33"/>
  <c r="J478" i="33"/>
  <c r="G492" i="33"/>
  <c r="J472" i="33"/>
  <c r="I347" i="33"/>
  <c r="G347" i="33"/>
  <c r="F330" i="33"/>
  <c r="H330" i="33"/>
  <c r="H237" i="33"/>
  <c r="H193" i="33"/>
  <c r="G151" i="33"/>
  <c r="I14" i="33"/>
  <c r="I842" i="33"/>
  <c r="G816" i="33"/>
  <c r="J801" i="33" s="1"/>
  <c r="J816" i="33" s="1"/>
  <c r="K709" i="33"/>
  <c r="F652" i="33"/>
  <c r="I478" i="33"/>
  <c r="I237" i="33"/>
  <c r="G237" i="33"/>
  <c r="I136" i="33"/>
  <c r="J15" i="33"/>
  <c r="J17" i="33" s="1"/>
  <c r="L594" i="33"/>
  <c r="K652" i="33"/>
  <c r="G538" i="33"/>
  <c r="G455" i="33"/>
  <c r="H151" i="33"/>
  <c r="G842" i="33"/>
  <c r="I844" i="33"/>
  <c r="F816" i="33"/>
  <c r="G727" i="33"/>
  <c r="J714" i="33" s="1"/>
  <c r="J727" i="33" s="1"/>
  <c r="H594" i="33"/>
  <c r="G594" i="33"/>
  <c r="F538" i="33"/>
  <c r="H492" i="33"/>
  <c r="I376" i="33"/>
  <c r="F376" i="33"/>
  <c r="G330" i="33"/>
  <c r="K237" i="33"/>
  <c r="L106" i="33"/>
  <c r="L709" i="33"/>
  <c r="L652" i="33"/>
  <c r="J583" i="33"/>
  <c r="J398" i="33"/>
  <c r="J574" i="33"/>
  <c r="J229" i="33"/>
  <c r="J211" i="33"/>
  <c r="J643" i="33"/>
  <c r="J337" i="33"/>
  <c r="J347" i="33" s="1"/>
  <c r="J708" i="33"/>
  <c r="J363" i="33"/>
  <c r="J364" i="33" s="1"/>
  <c r="J586" i="33"/>
  <c r="K118" i="33"/>
  <c r="K151" i="33" s="1"/>
  <c r="K594" i="33"/>
  <c r="J88" i="33"/>
  <c r="J225" i="33"/>
  <c r="J329" i="33"/>
  <c r="J687" i="33"/>
  <c r="J692" i="33"/>
  <c r="L347" i="33"/>
  <c r="L237" i="33"/>
  <c r="L193" i="33"/>
  <c r="M193" i="33" s="1"/>
  <c r="J376" i="33"/>
  <c r="I807" i="33"/>
  <c r="I816" i="33" s="1"/>
  <c r="G794" i="33"/>
  <c r="I498" i="33"/>
  <c r="I503" i="33" s="1"/>
  <c r="I538" i="33" s="1"/>
  <c r="I17" i="33"/>
  <c r="G789" i="33"/>
  <c r="I60" i="33"/>
  <c r="I158" i="33"/>
  <c r="I163" i="33" s="1"/>
  <c r="I193" i="33" s="1"/>
  <c r="I660" i="33"/>
  <c r="I664" i="33" s="1"/>
  <c r="I546" i="33"/>
  <c r="I550" i="33" s="1"/>
  <c r="I594" i="33" s="1"/>
  <c r="I384" i="33"/>
  <c r="M710" i="33" l="1"/>
  <c r="M711" i="33" s="1"/>
  <c r="M458" i="33"/>
  <c r="L458" i="33"/>
  <c r="I652" i="33"/>
  <c r="I455" i="33"/>
  <c r="I106" i="33"/>
  <c r="J492" i="33"/>
  <c r="I492" i="33"/>
  <c r="J844" i="33"/>
  <c r="F710" i="33"/>
  <c r="F711" i="33" s="1"/>
  <c r="G710" i="33"/>
  <c r="G711" i="33" s="1"/>
  <c r="I709" i="33"/>
  <c r="I710" i="33" s="1"/>
  <c r="I151" i="33"/>
  <c r="H458" i="33"/>
  <c r="F458" i="33"/>
  <c r="L710" i="33"/>
  <c r="L711" i="33" s="1"/>
  <c r="G458" i="33"/>
  <c r="H710" i="33"/>
  <c r="H711" i="33" s="1"/>
  <c r="K710" i="33"/>
  <c r="K711" i="33" s="1"/>
  <c r="I388" i="33"/>
  <c r="I415" i="33" s="1"/>
  <c r="I711" i="33" l="1"/>
  <c r="I458" i="33"/>
  <c r="J117" i="33" l="1"/>
  <c r="E9" i="5" l="1"/>
  <c r="E37" i="4" l="1"/>
  <c r="J59" i="33"/>
  <c r="J198" i="33" l="1"/>
  <c r="J201" i="33" s="1"/>
  <c r="H35" i="4" l="1"/>
  <c r="H36" i="4" s="1"/>
  <c r="H37" i="4" s="1"/>
  <c r="E43" i="20" l="1"/>
  <c r="J442" i="33" s="1"/>
  <c r="E81" i="26" l="1"/>
  <c r="E82" i="26"/>
  <c r="E26" i="26"/>
  <c r="E52" i="26" l="1"/>
  <c r="J681" i="33" s="1"/>
  <c r="K299" i="33" l="1"/>
  <c r="K330" i="33" s="1"/>
  <c r="E45" i="9"/>
  <c r="J232" i="33" s="1"/>
  <c r="J236" i="33" s="1"/>
  <c r="E87" i="3"/>
  <c r="J97" i="33" s="1"/>
  <c r="J53" i="33"/>
  <c r="K458" i="33" l="1"/>
  <c r="E22" i="26"/>
  <c r="E44" i="22" l="1"/>
  <c r="E50" i="24" l="1"/>
  <c r="E52" i="24" s="1"/>
  <c r="J624" i="33" s="1"/>
  <c r="D23" i="14" l="1"/>
  <c r="E40" i="4" l="1"/>
  <c r="J122" i="33" l="1"/>
  <c r="J128" i="33" s="1"/>
  <c r="J166" i="33"/>
  <c r="J171" i="33" s="1"/>
  <c r="J381" i="33" l="1"/>
  <c r="J156" i="33" l="1"/>
  <c r="E86" i="25" l="1"/>
  <c r="J588" i="33" s="1"/>
  <c r="J590" i="33" s="1"/>
  <c r="E53" i="25"/>
  <c r="J563" i="33" s="1"/>
  <c r="J645" i="33" l="1"/>
  <c r="J648" i="33" s="1"/>
  <c r="J148" i="33"/>
  <c r="E75" i="26" l="1"/>
  <c r="J697" i="33" s="1"/>
  <c r="J701" i="33" s="1"/>
  <c r="E88" i="26" l="1"/>
  <c r="J704" i="33" s="1"/>
  <c r="E84" i="26"/>
  <c r="J703" i="33" s="1"/>
  <c r="J705" i="33" l="1"/>
  <c r="E56" i="26"/>
  <c r="J683" i="33" s="1"/>
  <c r="E48" i="26"/>
  <c r="J677" i="33" s="1"/>
  <c r="E45" i="26"/>
  <c r="J676" i="33" s="1"/>
  <c r="E17" i="26"/>
  <c r="E16" i="26"/>
  <c r="E13" i="26"/>
  <c r="J684" i="33" l="1"/>
  <c r="E42" i="22"/>
  <c r="E38" i="22"/>
  <c r="E56" i="20" l="1"/>
  <c r="J449" i="33" s="1"/>
  <c r="E49" i="20"/>
  <c r="J444" i="33" s="1"/>
  <c r="J445" i="33" s="1"/>
  <c r="E68" i="13" l="1"/>
  <c r="J324" i="33" s="1"/>
  <c r="J325" i="33" s="1"/>
  <c r="E25" i="9"/>
  <c r="J212" i="33" s="1"/>
  <c r="J218" i="33"/>
  <c r="J219" i="33" s="1"/>
  <c r="H38" i="28" l="1"/>
  <c r="E9" i="26"/>
  <c r="E51" i="13"/>
  <c r="E19" i="7" l="1"/>
  <c r="J160" i="33" s="1"/>
  <c r="E18" i="7"/>
  <c r="J159" i="33" s="1"/>
  <c r="J656" i="33"/>
  <c r="E21" i="26"/>
  <c r="E20" i="26"/>
  <c r="J660" i="33" s="1"/>
  <c r="E15" i="26"/>
  <c r="J244" i="33"/>
  <c r="J243" i="33"/>
  <c r="E72" i="24" l="1"/>
  <c r="J638" i="33" s="1"/>
  <c r="J641" i="33" s="1"/>
  <c r="J149" i="33"/>
  <c r="J150" i="33" s="1"/>
  <c r="J76" i="33"/>
  <c r="H40" i="4" l="1"/>
  <c r="E16" i="5" s="1"/>
  <c r="J113" i="33" s="1"/>
  <c r="E17" i="5"/>
  <c r="E15" i="5" l="1"/>
  <c r="J112" i="33" s="1"/>
  <c r="J109" i="33"/>
  <c r="E42" i="20" l="1"/>
  <c r="J441" i="33" s="1"/>
  <c r="J137" i="33"/>
  <c r="J138" i="33" s="1"/>
  <c r="J100" i="33" l="1"/>
  <c r="J72" i="33"/>
  <c r="J70" i="33"/>
  <c r="J245" i="33" l="1"/>
  <c r="E23" i="26" l="1"/>
  <c r="J661" i="33" s="1"/>
  <c r="E18" i="26"/>
  <c r="J658" i="33" s="1"/>
  <c r="E41" i="25" l="1"/>
  <c r="E71" i="26" l="1"/>
  <c r="J695" i="33" s="1"/>
  <c r="J696" i="33" s="1"/>
  <c r="E33" i="26"/>
  <c r="J667" i="33" s="1"/>
  <c r="J675" i="33" s="1"/>
  <c r="E12" i="26"/>
  <c r="J657" i="33" s="1"/>
  <c r="E59" i="25" l="1"/>
  <c r="J567" i="33" s="1"/>
  <c r="J571" i="33" s="1"/>
  <c r="E48" i="25"/>
  <c r="E34" i="25" l="1"/>
  <c r="J553" i="33" s="1"/>
  <c r="J561" i="33" s="1"/>
  <c r="E11" i="24"/>
  <c r="J601" i="33" s="1"/>
  <c r="E34" i="22" l="1"/>
  <c r="E64" i="22" l="1"/>
  <c r="E12" i="22"/>
  <c r="J496" i="33" s="1"/>
  <c r="J141" i="33" l="1"/>
  <c r="J142" i="33" s="1"/>
  <c r="E65" i="24" l="1"/>
  <c r="J633" i="33" s="1"/>
  <c r="J637" i="33" s="1"/>
  <c r="E45" i="24"/>
  <c r="J620" i="33" s="1"/>
  <c r="E42" i="24"/>
  <c r="J619" i="33" s="1"/>
  <c r="E36" i="24"/>
  <c r="J615" i="33" s="1"/>
  <c r="J618" i="33" s="1"/>
  <c r="E28" i="24"/>
  <c r="J627" i="33" l="1"/>
  <c r="E60" i="20"/>
  <c r="J451" i="33" s="1"/>
  <c r="J452" i="33" s="1"/>
  <c r="J273" i="33" l="1"/>
  <c r="J275" i="33" s="1"/>
  <c r="E24" i="25" l="1"/>
  <c r="J547" i="33" s="1"/>
  <c r="E15" i="25"/>
  <c r="E18" i="25" s="1"/>
  <c r="J544" i="33" s="1"/>
  <c r="E22" i="25"/>
  <c r="J546" i="33" s="1"/>
  <c r="J542" i="33"/>
  <c r="E26" i="25"/>
  <c r="E14" i="24"/>
  <c r="E17" i="24" s="1"/>
  <c r="J602" i="33" s="1"/>
  <c r="E19" i="24"/>
  <c r="J604" i="33" s="1"/>
  <c r="J600" i="33"/>
  <c r="E21" i="24"/>
  <c r="E20" i="24"/>
  <c r="J605" i="33" s="1"/>
  <c r="E20" i="25"/>
  <c r="J545" i="33" s="1"/>
  <c r="E18" i="24"/>
  <c r="J603" i="33" s="1"/>
  <c r="J608" i="33" l="1"/>
  <c r="J652" i="33" s="1"/>
  <c r="E19" i="26"/>
  <c r="J659" i="33" s="1"/>
  <c r="J664" i="33" s="1"/>
  <c r="J709" i="33" s="1"/>
  <c r="J93" i="33" l="1"/>
  <c r="J94" i="33" s="1"/>
  <c r="E11" i="25" l="1"/>
  <c r="J543" i="33" s="1"/>
  <c r="J550" i="33" s="1"/>
  <c r="J594" i="33" s="1"/>
  <c r="E75" i="22"/>
  <c r="J532" i="33" s="1"/>
  <c r="J537" i="33" s="1"/>
  <c r="E33" i="20"/>
  <c r="J434" i="33" s="1"/>
  <c r="J443" i="33" s="1"/>
  <c r="E11" i="20"/>
  <c r="J420" i="33" s="1"/>
  <c r="E24" i="18"/>
  <c r="E53" i="13"/>
  <c r="J311" i="33" s="1"/>
  <c r="J312" i="33" s="1"/>
  <c r="E43" i="13"/>
  <c r="J304" i="33" s="1"/>
  <c r="J301" i="33"/>
  <c r="J252" i="33"/>
  <c r="J257" i="33" s="1"/>
  <c r="J217" i="33"/>
  <c r="J237" i="33" s="1"/>
  <c r="J143" i="33"/>
  <c r="J96" i="33"/>
  <c r="J105" i="33" s="1"/>
  <c r="J78" i="33"/>
  <c r="J79" i="33" s="1"/>
  <c r="J71" i="33"/>
  <c r="J77" i="33" s="1"/>
  <c r="J52" i="33"/>
  <c r="J306" i="33" l="1"/>
  <c r="I17" i="21"/>
  <c r="E23" i="22" l="1"/>
  <c r="J499" i="33" s="1"/>
  <c r="J495" i="33"/>
  <c r="E16" i="22"/>
  <c r="E25" i="22"/>
  <c r="J500" i="33" s="1"/>
  <c r="E21" i="22"/>
  <c r="J498" i="33" s="1"/>
  <c r="E19" i="22" l="1"/>
  <c r="J497" i="33" s="1"/>
  <c r="J503" i="33" s="1"/>
  <c r="J538" i="33" s="1"/>
  <c r="J710" i="33" s="1"/>
  <c r="J711" i="33" s="1"/>
  <c r="I13" i="19" l="1"/>
  <c r="J419" i="33" l="1"/>
  <c r="E21" i="20"/>
  <c r="E20" i="20"/>
  <c r="J424" i="33" s="1"/>
  <c r="E19" i="20"/>
  <c r="J423" i="33" s="1"/>
  <c r="E18" i="20"/>
  <c r="J422" i="33" s="1"/>
  <c r="E14" i="20"/>
  <c r="E17" i="20" s="1"/>
  <c r="J421" i="33" s="1"/>
  <c r="E17" i="18" l="1"/>
  <c r="E16" i="18"/>
  <c r="J385" i="33" s="1"/>
  <c r="J380" i="33"/>
  <c r="E15" i="18"/>
  <c r="J384" i="33" s="1"/>
  <c r="E10" i="18"/>
  <c r="J427" i="33"/>
  <c r="J455" i="33" s="1"/>
  <c r="E14" i="18"/>
  <c r="J383" i="33" s="1"/>
  <c r="E13" i="18" l="1"/>
  <c r="J382" i="33" s="1"/>
  <c r="J286" i="33"/>
  <c r="J281" i="33"/>
  <c r="J285" i="33"/>
  <c r="J284" i="33"/>
  <c r="J283" i="33"/>
  <c r="J388" i="33" l="1"/>
  <c r="E50" i="18"/>
  <c r="J414" i="33" s="1"/>
  <c r="J289" i="33"/>
  <c r="J330" i="33" s="1"/>
  <c r="J242" i="33"/>
  <c r="J248" i="33" s="1"/>
  <c r="J278" i="33" s="1"/>
  <c r="I14" i="6"/>
  <c r="J415" i="33" l="1"/>
  <c r="J155" i="33"/>
  <c r="E17" i="7"/>
  <c r="J157" i="33"/>
  <c r="J145" i="33"/>
  <c r="J146" i="33" s="1"/>
  <c r="J129" i="33"/>
  <c r="J136" i="33" s="1"/>
  <c r="J114" i="33"/>
  <c r="J158" i="33" l="1"/>
  <c r="E49" i="7"/>
  <c r="J163" i="33"/>
  <c r="J193" i="33" s="1"/>
  <c r="J111" i="33"/>
  <c r="I16" i="2"/>
  <c r="J51" i="33" l="1"/>
  <c r="J57" i="33"/>
  <c r="J54" i="33"/>
  <c r="J56" i="33" l="1"/>
  <c r="J55" i="33"/>
  <c r="J60" i="33" l="1"/>
  <c r="J106" i="33" s="1"/>
  <c r="J118" i="33" l="1"/>
  <c r="J151" i="33" s="1"/>
  <c r="J458" i="33" s="1"/>
  <c r="H459" i="33"/>
  <c r="H8" i="33"/>
  <c r="H47" i="33"/>
  <c r="J459" i="33"/>
  <c r="M459" i="33"/>
  <c r="I8" i="33"/>
  <c r="I47" i="33"/>
  <c r="I459" i="33"/>
  <c r="L47" i="33"/>
  <c r="L459" i="33"/>
  <c r="G8" i="33"/>
  <c r="G47" i="33"/>
  <c r="G459" i="33"/>
  <c r="F8" i="33"/>
  <c r="F47" i="33"/>
  <c r="F459" i="33"/>
  <c r="K8" i="33"/>
  <c r="K47" i="33"/>
  <c r="K459" i="33"/>
  <c r="J8" i="33"/>
  <c r="J47" i="33"/>
  <c r="L8" i="33"/>
  <c r="M8" i="33"/>
  <c r="M47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Panes are frozen; to undo, click "view", then "unfreeze"</t>
        </r>
      </text>
    </comment>
    <comment ref="I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KENEDY ISD PMT? BILLED YET?</t>
        </r>
      </text>
    </comment>
    <comment ref="J3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City Mgr rate s/b $100,000 per mo.</t>
        </r>
      </text>
    </comment>
    <comment ref="K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City Mgr rate s/b $100,000 per mo.</t>
        </r>
      </text>
    </comment>
    <comment ref="J5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Prior yr budget included assistant city mgr</t>
        </r>
      </text>
    </comment>
    <comment ref="K5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Prior yr budget included assistant city mgr</t>
        </r>
      </text>
    </comment>
    <comment ref="I7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Vincente Rico Raise </t>
        </r>
      </text>
    </comment>
    <comment ref="J9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UPDATED PER LETTER FROM KCAD
</t>
        </r>
      </text>
    </comment>
    <comment ref="K9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UPDATED PER LETTER FROM KCAD
</t>
        </r>
      </text>
    </comment>
    <comment ref="I13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Assumes purchase of 2 AC Heating units by 9/30/16
</t>
        </r>
      </text>
    </comment>
    <comment ref="J18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New A/C Heater
</t>
        </r>
      </text>
    </comment>
    <comment ref="I18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Assumes new Kennel &amp; fencing still to pay
</t>
        </r>
      </text>
    </comment>
    <comment ref="J18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Kennels
</t>
        </r>
      </text>
    </comment>
    <comment ref="J2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Grant from Marathon for equipment
</t>
        </r>
      </text>
    </comment>
    <comment ref="J24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Code compliance
separate division in 2018
</t>
        </r>
      </text>
    </comment>
    <comment ref="J28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Johnny sal now partially pd by WWS</t>
        </r>
      </text>
    </comment>
    <comment ref="I28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Prior year pd SW Engineers; unknown for 2016
</t>
        </r>
      </text>
    </comment>
    <comment ref="J52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filing cabinet
</t>
        </r>
      </text>
    </comment>
    <comment ref="J53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Ice Machine school St;
</t>
        </r>
      </text>
    </comment>
    <comment ref="J53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Barbara Shaw amt of transfer needs increase; several yrs of no increase</t>
        </r>
      </text>
    </comment>
    <comment ref="J57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desk &amp; lockers
</t>
        </r>
      </text>
    </comment>
    <comment ref="K57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desk &amp; lockers
</t>
        </r>
      </text>
    </comment>
    <comment ref="J63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membraines &amp; trains
</t>
        </r>
      </text>
    </comment>
    <comment ref="I69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assumes 50% of projects still may be done. ??
</t>
        </r>
      </text>
    </comment>
    <comment ref="J72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Brentwood &amp; Park Area
</t>
        </r>
      </text>
    </comment>
    <comment ref="I81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Ask Barbara
</t>
        </r>
      </text>
    </comment>
    <comment ref="I86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INCLUDES $198,000 RECEIVED FROM STAT OIL 7/31
</t>
        </r>
      </text>
    </comment>
    <comment ref="J88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3 year payout
</t>
        </r>
      </text>
    </comment>
    <comment ref="K88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3 year payout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Simpson</author>
  </authors>
  <commentList>
    <comment ref="E2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K Simpson:</t>
        </r>
        <r>
          <rPr>
            <sz val="9"/>
            <color indexed="81"/>
            <rFont val="Tahoma"/>
            <family val="2"/>
          </rPr>
          <t xml:space="preserve">
This combined both department 5&amp;12 but think lanny's is included and should be deducted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Simpson</author>
  </authors>
  <commentList>
    <comment ref="I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K Simpson:</t>
        </r>
        <r>
          <rPr>
            <sz val="9"/>
            <color indexed="81"/>
            <rFont val="Tahoma"/>
            <family val="2"/>
          </rPr>
          <t xml:space="preserve">
Used as the person here not in water or sewer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</author>
  </authors>
  <commentList>
    <comment ref="E7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B. Shaw - admin fee
for water fund s/b
$100,000 per month to gen fd  (4 divisions inWW)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Simpson</author>
  </authors>
  <commentList>
    <comment ref="E8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K Simpson:</t>
        </r>
        <r>
          <rPr>
            <sz val="9"/>
            <color indexed="81"/>
            <rFont val="Tahoma"/>
            <family val="2"/>
          </rPr>
          <t xml:space="preserve">
Need to know payoff date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Simpson</author>
  </authors>
  <commentList>
    <comment ref="H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K Simpson:</t>
        </r>
        <r>
          <rPr>
            <sz val="9"/>
            <color indexed="81"/>
            <rFont val="Tahoma"/>
            <family val="2"/>
          </rPr>
          <t xml:space="preserve">
used as a person in street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Simpson</author>
  </authors>
  <commentList>
    <comment ref="E22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K Simpson:</t>
        </r>
        <r>
          <rPr>
            <sz val="9"/>
            <color indexed="81"/>
            <rFont val="Tahoma"/>
            <family val="2"/>
          </rPr>
          <t xml:space="preserve">
Only used office clerk wage</t>
        </r>
      </text>
    </comment>
  </commentList>
</comments>
</file>

<file path=xl/sharedStrings.xml><?xml version="1.0" encoding="utf-8"?>
<sst xmlns="http://schemas.openxmlformats.org/spreadsheetml/2006/main" count="2248" uniqueCount="959">
  <si>
    <t>Inspection Fees</t>
  </si>
  <si>
    <t>Telephone</t>
  </si>
  <si>
    <t>Electricity</t>
  </si>
  <si>
    <t>Administrative Fees</t>
  </si>
  <si>
    <t>Total RO</t>
  </si>
  <si>
    <t>Salaries</t>
  </si>
  <si>
    <t>Total General Fund Income</t>
  </si>
  <si>
    <t>Total Streets</t>
  </si>
  <si>
    <t>Total Parks</t>
  </si>
  <si>
    <t>Total Airport</t>
  </si>
  <si>
    <t>Total Library</t>
  </si>
  <si>
    <t>2004 Series Bond Payment</t>
  </si>
  <si>
    <t>Total</t>
  </si>
  <si>
    <t xml:space="preserve"> </t>
  </si>
  <si>
    <t>General Fund Expenditures</t>
  </si>
  <si>
    <t>Economic Development</t>
  </si>
  <si>
    <t>Vendor Permits</t>
  </si>
  <si>
    <t>Payroll Taxes</t>
  </si>
  <si>
    <t>Advertising</t>
  </si>
  <si>
    <t>Landscaping</t>
  </si>
  <si>
    <t>Total Utility Fund</t>
  </si>
  <si>
    <t>Total Administration</t>
  </si>
  <si>
    <t>Reconnect Fees</t>
  </si>
  <si>
    <t xml:space="preserve"> Budget 08/09</t>
  </si>
  <si>
    <t>Actual5/31/09</t>
  </si>
  <si>
    <t>Estimated 08/09</t>
  </si>
  <si>
    <t>Actual 5/31/09</t>
  </si>
  <si>
    <t>Budget 08/09</t>
  </si>
  <si>
    <t xml:space="preserve"> Budget 08/08</t>
  </si>
  <si>
    <t>Bond Issue</t>
  </si>
  <si>
    <t>Description</t>
  </si>
  <si>
    <t>Beginning Balance 10/01</t>
  </si>
  <si>
    <t xml:space="preserve">   W &amp; WW Fund Transfer</t>
  </si>
  <si>
    <t>TOTAL Revenue</t>
  </si>
  <si>
    <t>REVENUE</t>
  </si>
  <si>
    <t>EXPENSES</t>
  </si>
  <si>
    <t xml:space="preserve">   Street Improv. Proj.</t>
  </si>
  <si>
    <t xml:space="preserve">   Professional Fees</t>
  </si>
  <si>
    <t xml:space="preserve">   Other</t>
  </si>
  <si>
    <t>TOTAL Expenses</t>
  </si>
  <si>
    <t>Ending Balance 9/30</t>
  </si>
  <si>
    <t>General Surplus&lt;Deficit&gt;</t>
  </si>
  <si>
    <t>Utility Surplus&lt;Deficit&gt;</t>
  </si>
  <si>
    <t>Professional Services</t>
  </si>
  <si>
    <t>Principal</t>
  </si>
  <si>
    <t>Interest</t>
  </si>
  <si>
    <t>Admin. Fees</t>
  </si>
  <si>
    <t>Total Debt Service Reqs.</t>
  </si>
  <si>
    <t>Interest &amp; Sinking Fund Revenues/Expenses</t>
  </si>
  <si>
    <t>2004 COs</t>
  </si>
  <si>
    <t>Revenue</t>
  </si>
  <si>
    <t xml:space="preserve">     Ad Valorem Taxes</t>
  </si>
  <si>
    <t xml:space="preserve">     Water &amp; Sewer System</t>
  </si>
  <si>
    <t xml:space="preserve">     Total</t>
  </si>
  <si>
    <t>Expenses</t>
  </si>
  <si>
    <t xml:space="preserve">     Principal</t>
  </si>
  <si>
    <t xml:space="preserve">     Interest &amp; Fees</t>
  </si>
  <si>
    <t>Total Revenue</t>
  </si>
  <si>
    <t>Equipment Rent</t>
  </si>
  <si>
    <t>Miscellaneous</t>
  </si>
  <si>
    <t xml:space="preserve">   Interest</t>
  </si>
  <si>
    <t>00-301.01</t>
  </si>
  <si>
    <t>00-301.02</t>
  </si>
  <si>
    <t>00-301.03</t>
  </si>
  <si>
    <t>00-301.05</t>
  </si>
  <si>
    <t>Current AV Taxes</t>
  </si>
  <si>
    <t>Delinquent AV Taxes</t>
  </si>
  <si>
    <t>Penalty &amp; Interest</t>
  </si>
  <si>
    <t>Attorney Fees</t>
  </si>
  <si>
    <t>Partial Payments</t>
  </si>
  <si>
    <t>Total AV Taxes</t>
  </si>
  <si>
    <t>00-302.01</t>
  </si>
  <si>
    <t>00-302.02</t>
  </si>
  <si>
    <t>00-302.03</t>
  </si>
  <si>
    <t>00-302.04</t>
  </si>
  <si>
    <t>Gas</t>
  </si>
  <si>
    <t>Electric</t>
  </si>
  <si>
    <t>Cable TV</t>
  </si>
  <si>
    <t>Total Franchise Taxes</t>
  </si>
  <si>
    <t>00-303.01</t>
  </si>
  <si>
    <t>00-303.02</t>
  </si>
  <si>
    <t>Sales Tax</t>
  </si>
  <si>
    <t>Alcoholic Beverage Tax</t>
  </si>
  <si>
    <t>Total Sales Tax</t>
  </si>
  <si>
    <t>00-304.03</t>
  </si>
  <si>
    <t>00-304.04</t>
  </si>
  <si>
    <t>00-304.05</t>
  </si>
  <si>
    <t>00-304.06</t>
  </si>
  <si>
    <t>Building Permits</t>
  </si>
  <si>
    <t>Garage Sales</t>
  </si>
  <si>
    <t>Total Permits &amp; Fees</t>
  </si>
  <si>
    <t>00-305.01</t>
  </si>
  <si>
    <t>00-305.03</t>
  </si>
  <si>
    <t>Municipal Court Fines</t>
  </si>
  <si>
    <t>Animal Control</t>
  </si>
  <si>
    <t>Total Fines</t>
  </si>
  <si>
    <t>00-306.01</t>
  </si>
  <si>
    <t>Total Garbage Collection</t>
  </si>
  <si>
    <t>00-307.01</t>
  </si>
  <si>
    <t>00-307.02</t>
  </si>
  <si>
    <t>00-307.03</t>
  </si>
  <si>
    <t>00-307.04</t>
  </si>
  <si>
    <t>Auditorium</t>
  </si>
  <si>
    <t>Pavillion</t>
  </si>
  <si>
    <t>Gazebo</t>
  </si>
  <si>
    <t>Ball Fields</t>
  </si>
  <si>
    <t>Total Rents</t>
  </si>
  <si>
    <t>00-308.01</t>
  </si>
  <si>
    <t>00-308.02</t>
  </si>
  <si>
    <t>00-308.04</t>
  </si>
  <si>
    <t>00-308.05</t>
  </si>
  <si>
    <t>00-308.07</t>
  </si>
  <si>
    <t>00-308.09</t>
  </si>
  <si>
    <t>Administrative Servs.</t>
  </si>
  <si>
    <t>Fire District</t>
  </si>
  <si>
    <t>Surplus Equipment Sales</t>
  </si>
  <si>
    <t>Interest Earned</t>
  </si>
  <si>
    <t>Fire Department</t>
  </si>
  <si>
    <t>Total Other Revenue</t>
  </si>
  <si>
    <t>00-309.01</t>
  </si>
  <si>
    <t>00-309.02</t>
  </si>
  <si>
    <t>00-309.04</t>
  </si>
  <si>
    <t>Fax Service</t>
  </si>
  <si>
    <t>Copies</t>
  </si>
  <si>
    <t>NSF Fees</t>
  </si>
  <si>
    <t xml:space="preserve">Total Sundry Revenues </t>
  </si>
  <si>
    <t>00-510.01</t>
  </si>
  <si>
    <t>Professional Servs.</t>
  </si>
  <si>
    <t>Elected Officials/Volunteers</t>
  </si>
  <si>
    <t>Empl. Health Insur.</t>
  </si>
  <si>
    <t>Retirement</t>
  </si>
  <si>
    <t>Total Salaries &amp; Wages</t>
  </si>
  <si>
    <t>Administration Dept. No. 00</t>
  </si>
  <si>
    <t>Office Supplies</t>
  </si>
  <si>
    <t>Meals &amp; Meetings</t>
  </si>
  <si>
    <t xml:space="preserve">Janitorial </t>
  </si>
  <si>
    <t>Other Supplies</t>
  </si>
  <si>
    <t>Total Consumable Supplies</t>
  </si>
  <si>
    <t>Total Misc. Servs.</t>
  </si>
  <si>
    <t>Telephone/Internet</t>
  </si>
  <si>
    <t>Non-Professional Servs.</t>
  </si>
  <si>
    <t>Travel Expense</t>
  </si>
  <si>
    <t>Software Lease</t>
  </si>
  <si>
    <t>Contracted Servs.</t>
  </si>
  <si>
    <t>Bldg. Maintenance</t>
  </si>
  <si>
    <t>Total Bldg. Maintenance</t>
  </si>
  <si>
    <t>Total Equip. Maintenance</t>
  </si>
  <si>
    <t>Equip. Maintenance</t>
  </si>
  <si>
    <t>Empl. Bonus</t>
  </si>
  <si>
    <t>Total Sundry Expenses</t>
  </si>
  <si>
    <t>Dues &amp; Subscriptions</t>
  </si>
  <si>
    <t>Training</t>
  </si>
  <si>
    <t>Election Expenses</t>
  </si>
  <si>
    <t>Buildings</t>
  </si>
  <si>
    <t>Decorations</t>
  </si>
  <si>
    <t>00-610.01</t>
  </si>
  <si>
    <t>Total General Transfers</t>
  </si>
  <si>
    <t>Debt Service</t>
  </si>
  <si>
    <t>Garbage Collection Serv.</t>
  </si>
  <si>
    <t>Appraisal District</t>
  </si>
  <si>
    <t>Downtown Revitalization Proj.</t>
  </si>
  <si>
    <t>Consulting</t>
  </si>
  <si>
    <t>Police Dept. No. 02</t>
  </si>
  <si>
    <t>02-510.01</t>
  </si>
  <si>
    <t>Health Insurance</t>
  </si>
  <si>
    <t>Bonus</t>
  </si>
  <si>
    <t>Postage</t>
  </si>
  <si>
    <t>Uniforms</t>
  </si>
  <si>
    <t>Fuel</t>
  </si>
  <si>
    <t xml:space="preserve">Minor Apparatus &amp; Tools </t>
  </si>
  <si>
    <t>Janitorial</t>
  </si>
  <si>
    <t>Telephone &amp; Internet</t>
  </si>
  <si>
    <t>Total Equip. &amp; Vehicle Maintenance</t>
  </si>
  <si>
    <t>Furniture &amp; Fixtures</t>
  </si>
  <si>
    <t>Machinery &amp; Tools</t>
  </si>
  <si>
    <t>Cars &amp; Trucks</t>
  </si>
  <si>
    <t>Animal Control Dept. No. 03</t>
  </si>
  <si>
    <t>03-510.01</t>
  </si>
  <si>
    <t>Total Salaries</t>
  </si>
  <si>
    <t>Minor Tools &amp; Apparatus</t>
  </si>
  <si>
    <t>Chemical &amp; Medical</t>
  </si>
  <si>
    <t xml:space="preserve">Total Consumable Supplies </t>
  </si>
  <si>
    <t>Food for Animals</t>
  </si>
  <si>
    <t>Total Bldg. &amp; Structure Maintenance</t>
  </si>
  <si>
    <t>Other</t>
  </si>
  <si>
    <t>Training &amp; Testing</t>
  </si>
  <si>
    <t>Total Police Department</t>
  </si>
  <si>
    <t>Total Animal Control</t>
  </si>
  <si>
    <t>Kenedy VFD Dept. No. 04</t>
  </si>
  <si>
    <t>Budget 2012-13</t>
  </si>
  <si>
    <t>Pensions</t>
  </si>
  <si>
    <t>Food &amp; Refreshments</t>
  </si>
  <si>
    <t>Minor Apparatus &amp; Tools</t>
  </si>
  <si>
    <t>Natural Gas</t>
  </si>
  <si>
    <t>Radio System</t>
  </si>
  <si>
    <t>Protective Gear</t>
  </si>
  <si>
    <t>Other Capital Outlay</t>
  </si>
  <si>
    <t>05-510.01</t>
  </si>
  <si>
    <t>Consumable Supplies</t>
  </si>
  <si>
    <t>Gasoline &amp; Lubricants</t>
  </si>
  <si>
    <t>Total Equip. &amp; Vehicle Main.</t>
  </si>
  <si>
    <t>Street Dept. No. 06</t>
  </si>
  <si>
    <t>06-510.01</t>
  </si>
  <si>
    <t>Annual Bonus</t>
  </si>
  <si>
    <t>Diesel Fuel</t>
  </si>
  <si>
    <t>Equip. Rental</t>
  </si>
  <si>
    <t>Building</t>
  </si>
  <si>
    <t xml:space="preserve">Street Maintenance </t>
  </si>
  <si>
    <t>Off-Road Equip.</t>
  </si>
  <si>
    <t>Street Name Signs</t>
  </si>
  <si>
    <t>Traffic Signs</t>
  </si>
  <si>
    <t>Emergency Management Dept. No. 07</t>
  </si>
  <si>
    <t>Airport Dept. No. 08</t>
  </si>
  <si>
    <t>08-510.03</t>
  </si>
  <si>
    <t>Total Bldg.&amp; Structure Main.</t>
  </si>
  <si>
    <t>Runway &amp; Lights</t>
  </si>
  <si>
    <t>Library Dept. No. 09</t>
  </si>
  <si>
    <t>09-520.08</t>
  </si>
  <si>
    <t>AC/Heating System</t>
  </si>
  <si>
    <t>Building &amp; Structure Maintenance</t>
  </si>
  <si>
    <t>Building Maintenance</t>
  </si>
  <si>
    <t>Park Dept. No. 10</t>
  </si>
  <si>
    <t>10-510.01</t>
  </si>
  <si>
    <t xml:space="preserve">Food for Volunteers </t>
  </si>
  <si>
    <t xml:space="preserve">Building &amp; Structure Maintenance </t>
  </si>
  <si>
    <t>Capital Outlay-Bldg. &amp; Structures</t>
  </si>
  <si>
    <t>Capital Outlay-Vehicles &amp; Equip.</t>
  </si>
  <si>
    <t>Municipal Court Dept. No. 11</t>
  </si>
  <si>
    <t>11-510.01</t>
  </si>
  <si>
    <t>Total Wages</t>
  </si>
  <si>
    <t>Total Misc. Expenses</t>
  </si>
  <si>
    <t>Travel</t>
  </si>
  <si>
    <t>Rent &amp; Leases</t>
  </si>
  <si>
    <t>State Criminal Fees</t>
  </si>
  <si>
    <t>Building Main.</t>
  </si>
  <si>
    <t>Jury &amp; Witness Fees</t>
  </si>
  <si>
    <t>Capital Outlay-Equipment</t>
  </si>
  <si>
    <t>Capital Outlay-Equipment &amp; Tools</t>
  </si>
  <si>
    <t>Capital Outlay-Equip. &amp; Tools</t>
  </si>
  <si>
    <t>Utility Revenues Dept. No. 00</t>
  </si>
  <si>
    <t>00-351.01</t>
  </si>
  <si>
    <t>Municipal Water Sales</t>
  </si>
  <si>
    <t>TDCJ Water Sales</t>
  </si>
  <si>
    <t xml:space="preserve">Bulk Water </t>
  </si>
  <si>
    <t>Total Water Sales</t>
  </si>
  <si>
    <t>Municipal Sewer Serv.</t>
  </si>
  <si>
    <t>TDCJ Sewer</t>
  </si>
  <si>
    <t>Treated Effluent</t>
  </si>
  <si>
    <t>Total Sewer Service</t>
  </si>
  <si>
    <t>Utility Tap Fees</t>
  </si>
  <si>
    <t>Water Taps</t>
  </si>
  <si>
    <t>Sewer Taps</t>
  </si>
  <si>
    <t>Penalties &amp; Fees</t>
  </si>
  <si>
    <t>Late Payment Fees</t>
  </si>
  <si>
    <t>Interest Earned &amp; Dividends</t>
  </si>
  <si>
    <t>Unrestricted Interest</t>
  </si>
  <si>
    <t>Misc. Revenues</t>
  </si>
  <si>
    <t>Miscellaneous Revenues</t>
  </si>
  <si>
    <t>Cash Over/Short</t>
  </si>
  <si>
    <t>61-510.01</t>
  </si>
  <si>
    <t>Contracted Services</t>
  </si>
  <si>
    <t>Permits &amp; Fees</t>
  </si>
  <si>
    <t>Machinery &amp; Equip. Maintenance</t>
  </si>
  <si>
    <t>Capital Outlay-Building &amp; Structures</t>
  </si>
  <si>
    <t>Machinery &amp; Equip.</t>
  </si>
  <si>
    <t>Administrative Expense Transfer</t>
  </si>
  <si>
    <t xml:space="preserve">Paving Fund </t>
  </si>
  <si>
    <t xml:space="preserve">Kenedy VFD </t>
  </si>
  <si>
    <t>WWTP Dept. No. 62</t>
  </si>
  <si>
    <t>Sewer Collection Lines</t>
  </si>
  <si>
    <t>Capital Outlay-Bldgs. &amp; Structures</t>
  </si>
  <si>
    <t>Total Water Transfers</t>
  </si>
  <si>
    <t>Total Wastewater Transfers</t>
  </si>
  <si>
    <t>Administrative Expense Trans.</t>
  </si>
  <si>
    <t>Reverse Osmosis Dept. No. 63</t>
  </si>
  <si>
    <t>Bldg. &amp; Structure Maintenance</t>
  </si>
  <si>
    <t>Equip. &amp; Vehicle Maintenance</t>
  </si>
  <si>
    <t>Total RO Transfers</t>
  </si>
  <si>
    <t>Workers Comp. Insur.</t>
  </si>
  <si>
    <t xml:space="preserve">Workers Comp. Insur. </t>
  </si>
  <si>
    <t>Total Fire Department</t>
  </si>
  <si>
    <t>07-520.01</t>
  </si>
  <si>
    <t>Machinery/Implements</t>
  </si>
  <si>
    <t>Capital Outlay-Machinery &amp; Implements</t>
  </si>
  <si>
    <t>Food Supplies</t>
  </si>
  <si>
    <t>04-510.03</t>
  </si>
  <si>
    <t>Machinery &amp; Equipment</t>
  </si>
  <si>
    <t>Buildings &amp; Structures</t>
  </si>
  <si>
    <t>Furniture &amp; fixtures</t>
  </si>
  <si>
    <t>Capital Outlay- Bldg. &amp; Structure</t>
  </si>
  <si>
    <t xml:space="preserve">Capital Outlay-Bldg. &amp; Structure </t>
  </si>
  <si>
    <t>HOTEL/MOTEL TAX FUND</t>
  </si>
  <si>
    <t xml:space="preserve">   Occupancy Tax Receipts</t>
  </si>
  <si>
    <t xml:space="preserve">   Total Revenue</t>
  </si>
  <si>
    <t xml:space="preserve">   Total Expenses</t>
  </si>
  <si>
    <t xml:space="preserve">   General Fund Transfer</t>
  </si>
  <si>
    <t>CAPITAL IMPROV. PROJECT (CIP) FUND</t>
  </si>
  <si>
    <t>Total Revenues</t>
  </si>
  <si>
    <t>Total Expenses</t>
  </si>
  <si>
    <t>Royalty Payments:</t>
  </si>
  <si>
    <t>2009 COs</t>
  </si>
  <si>
    <t>Total Municipal Court</t>
  </si>
  <si>
    <t>Garbage Collection</t>
  </si>
  <si>
    <t>BUDGET REQUEST SHEET</t>
  </si>
  <si>
    <t>FUND:</t>
  </si>
  <si>
    <t>10-General</t>
  </si>
  <si>
    <t>DEPT:</t>
  </si>
  <si>
    <t>00-Administration</t>
  </si>
  <si>
    <t xml:space="preserve">Acct. No. </t>
  </si>
  <si>
    <t xml:space="preserve">Description                                                                   </t>
  </si>
  <si>
    <t xml:space="preserve">Amount       </t>
  </si>
  <si>
    <t>City Manager's auto allowance @ 500/mon.</t>
  </si>
  <si>
    <t>City Manager's cell phone allowance @ 60/mon.</t>
  </si>
  <si>
    <t xml:space="preserve">Total </t>
  </si>
  <si>
    <t>Legal services</t>
  </si>
  <si>
    <t>Monthly accounting service</t>
  </si>
  <si>
    <t>LESS:  4B Corp. transfer for accounting service</t>
  </si>
  <si>
    <t>Payroll Taxes @ 7.65%</t>
  </si>
  <si>
    <t>Copy machine paper, toner &amp; supplies</t>
  </si>
  <si>
    <t>Other custodial services</t>
  </si>
  <si>
    <t>Other software maintenance</t>
  </si>
  <si>
    <t>Routine bldg. maintenance</t>
  </si>
  <si>
    <t>TCMA dues</t>
  </si>
  <si>
    <t>AACOG dues</t>
  </si>
  <si>
    <t>Municipal clerk assoc.</t>
  </si>
  <si>
    <t>TML dues</t>
  </si>
  <si>
    <t>Newspaper subscription</t>
  </si>
  <si>
    <t>State Co-Op purchasing</t>
  </si>
  <si>
    <t>City Council travel &amp; training</t>
  </si>
  <si>
    <t>Garbage collection service</t>
  </si>
  <si>
    <t>PERSONNEL SCHEDULE</t>
  </si>
  <si>
    <t xml:space="preserve">Employee Position                    </t>
  </si>
  <si>
    <t>Monthly</t>
  </si>
  <si>
    <t>Annual</t>
  </si>
  <si>
    <t>City Manager</t>
  </si>
  <si>
    <t>City Secretary</t>
  </si>
  <si>
    <t>TOTAL</t>
  </si>
  <si>
    <t xml:space="preserve">   Budget 2012-13</t>
  </si>
  <si>
    <t xml:space="preserve">    Budget 2012-13</t>
  </si>
  <si>
    <t>02-Police Dept.</t>
  </si>
  <si>
    <t>2013-14</t>
  </si>
  <si>
    <t>03-Animal Control</t>
  </si>
  <si>
    <t>04-Kenedy VFD</t>
  </si>
  <si>
    <t>06-Street Dept.</t>
  </si>
  <si>
    <t>07-Emergency Management</t>
  </si>
  <si>
    <t>08-Airport</t>
  </si>
  <si>
    <t>09-Library</t>
  </si>
  <si>
    <t>10-Park Dept.</t>
  </si>
  <si>
    <t>11-Municipal Court</t>
  </si>
  <si>
    <t xml:space="preserve">20-Utility </t>
  </si>
  <si>
    <t>61-Utility Admin.</t>
  </si>
  <si>
    <t>20-Utility</t>
  </si>
  <si>
    <t>63-Reverse Osmosis Plant</t>
  </si>
  <si>
    <t>Chief</t>
  </si>
  <si>
    <t>Sergeant</t>
  </si>
  <si>
    <t>Patrol Officer P1</t>
  </si>
  <si>
    <t>Patrol Officer P2</t>
  </si>
  <si>
    <t>Patrol Officer P3</t>
  </si>
  <si>
    <t>Secretary/Dispatcher</t>
  </si>
  <si>
    <t>Overtime</t>
  </si>
  <si>
    <t>Leather goods</t>
  </si>
  <si>
    <t>CESI internet based software subscription</t>
  </si>
  <si>
    <t>TDS computer service</t>
  </si>
  <si>
    <t>Chief's training</t>
  </si>
  <si>
    <t>Animal Control Officer</t>
  </si>
  <si>
    <t>Dental:  1 @ 24/mon.</t>
  </si>
  <si>
    <t>Life:  1 @ 3/mon.</t>
  </si>
  <si>
    <t xml:space="preserve">Air Evac Ambul. Membership:  1 @ 55/yr. </t>
  </si>
  <si>
    <t>Food for annual Christmas party</t>
  </si>
  <si>
    <t>Blanket volunteer accident policy</t>
  </si>
  <si>
    <t>Veh. Maintenance inspec. by volunteer fireman @ $45/mon.</t>
  </si>
  <si>
    <t>Pager &amp; radio maintenance &amp; programming</t>
  </si>
  <si>
    <t>Superintendent</t>
  </si>
  <si>
    <t>Foreman</t>
  </si>
  <si>
    <t>Equipment Operator</t>
  </si>
  <si>
    <t>W/C Insur. @ 6.32/100</t>
  </si>
  <si>
    <t>Other clothing &amp; safety gear</t>
  </si>
  <si>
    <t>Other equipment rent</t>
  </si>
  <si>
    <t>Street lights</t>
  </si>
  <si>
    <t>Office electricity</t>
  </si>
  <si>
    <t>Street &amp; pavement maintenance materials</t>
  </si>
  <si>
    <t xml:space="preserve">Escondido Creek maintenance agreement w/ SARA; </t>
  </si>
  <si>
    <t>3 shreadings/yr. @ 2,500 ea.</t>
  </si>
  <si>
    <t>Nichols Creek maintenance agreement w/ SARA</t>
  </si>
  <si>
    <t>Propane</t>
  </si>
  <si>
    <t xml:space="preserve">Aviation General Liability Insur. </t>
  </si>
  <si>
    <t>Runway &amp; Light System Maintenance</t>
  </si>
  <si>
    <t>TxDOT RAMP Contribution</t>
  </si>
  <si>
    <t>Routine Bldg. Maintenance</t>
  </si>
  <si>
    <t>AC/Heating System Maintenance</t>
  </si>
  <si>
    <t>Pesticides &amp; fertilizers</t>
  </si>
  <si>
    <t>Shrubs, plants, &amp; flowers</t>
  </si>
  <si>
    <t xml:space="preserve">Municipal Court Prosecutor  </t>
  </si>
  <si>
    <t>Air Evac Ambul. Membership:  1 @ 55/yr</t>
  </si>
  <si>
    <t xml:space="preserve">Bottled water for office &amp; misc. foods </t>
  </si>
  <si>
    <t>Annual Software maintenance</t>
  </si>
  <si>
    <t xml:space="preserve">State Criminal Costs/Fees collected and forwarded </t>
  </si>
  <si>
    <t>Pest control service @ $125/qrt.</t>
  </si>
  <si>
    <t>61-510.03</t>
  </si>
  <si>
    <t>Accounting services</t>
  </si>
  <si>
    <t>Dental:  2 @ 24/mon. ea.</t>
  </si>
  <si>
    <t>Life:  2 @ 3/mon. ea.</t>
  </si>
  <si>
    <t xml:space="preserve">Air Evac Ambul. Membership:  2 @ 55/yr. ea. </t>
  </si>
  <si>
    <t>Utility bills &amp; disconnect notices</t>
  </si>
  <si>
    <t>Badger Meter service agreements</t>
  </si>
  <si>
    <t>Debt Service Transfers:</t>
  </si>
  <si>
    <t>Transfer to General Fund for administrative services</t>
  </si>
  <si>
    <t>TCEQ Brine Permit renewal</t>
  </si>
  <si>
    <t>Physical Exams</t>
  </si>
  <si>
    <t>Bridge &amp; Culvert</t>
  </si>
  <si>
    <t>Sidewalks &amp; Curbs</t>
  </si>
  <si>
    <t>Contracted Service</t>
  </si>
  <si>
    <t>Total Misc. Services</t>
  </si>
  <si>
    <t xml:space="preserve">2013 GO Refunding Bonds </t>
  </si>
  <si>
    <t>2013 GO Ref. Bds.</t>
  </si>
  <si>
    <t>Community Development Dept. No. 05</t>
  </si>
  <si>
    <t>05-Community Development</t>
  </si>
  <si>
    <t>Total Community Development</t>
  </si>
  <si>
    <t>Court Clerk</t>
  </si>
  <si>
    <t>Employee bonds</t>
  </si>
  <si>
    <t>2013 GO Refunding Bonds (100% Utility).</t>
  </si>
  <si>
    <t>Office supplies including evidence supplies</t>
  </si>
  <si>
    <t xml:space="preserve">Civic Center Proj.-Constr. </t>
  </si>
  <si>
    <t>LT Disability @ $0.515 per $100 Covered Payroll</t>
  </si>
  <si>
    <t>Equipment &amp; Tools</t>
  </si>
  <si>
    <t>Total Capital Outlay-Equip. &amp; Vehicles</t>
  </si>
  <si>
    <t>ACO refresher course &amp; classes</t>
  </si>
  <si>
    <t xml:space="preserve">Copy machine rent @ 100/mon. </t>
  </si>
  <si>
    <t xml:space="preserve">Employee bonus:  </t>
  </si>
  <si>
    <t>Longevity Pay</t>
  </si>
  <si>
    <t>Total W &amp; S System Improvements</t>
  </si>
  <si>
    <t>Water &amp; Sewer System Admin. Dept. No. 61</t>
  </si>
  <si>
    <t xml:space="preserve">Food for Meetings </t>
  </si>
  <si>
    <t>Clothing &amp; Uniforms</t>
  </si>
  <si>
    <t>Minor Appartus &amp; Tools</t>
  </si>
  <si>
    <t>Janitorial Supplies</t>
  </si>
  <si>
    <t>Equipment Rental</t>
  </si>
  <si>
    <t>Travel &amp; Lodging</t>
  </si>
  <si>
    <t>Maintenance Off-Road Equip.</t>
  </si>
  <si>
    <t>Fire Hydrants</t>
  </si>
  <si>
    <t>Water Meters</t>
  </si>
  <si>
    <t>Cap Outlay Off-Road Equip</t>
  </si>
  <si>
    <t>Cap Outlay Cars &amp; Trucks</t>
  </si>
  <si>
    <t>62-510.01</t>
  </si>
  <si>
    <t>63-510.01</t>
  </si>
  <si>
    <t>W &amp; S Lines</t>
  </si>
  <si>
    <t>Capital Outlay-Bldgs &amp; Structures</t>
  </si>
  <si>
    <t>Capital Outlay Vehicles &amp; Equip.</t>
  </si>
  <si>
    <t>W &amp; S System Opr. &amp; Main. Dept. No. 64</t>
  </si>
  <si>
    <t>64-510.01</t>
  </si>
  <si>
    <t>Total Water &amp; Sewer O &amp; M</t>
  </si>
  <si>
    <t>64-W&amp;S Opr. &amp; Main.</t>
  </si>
  <si>
    <t>62-WWTP</t>
  </si>
  <si>
    <t>63-RO Plant</t>
  </si>
  <si>
    <t>W/C Insur. @ 0.27/100</t>
  </si>
  <si>
    <t>W &amp; WW System Superintendent</t>
  </si>
  <si>
    <t>Fire Hose</t>
  </si>
  <si>
    <t>Total Bldg. &amp; Structures</t>
  </si>
  <si>
    <t xml:space="preserve">Furniture &amp; Fixtures  </t>
  </si>
  <si>
    <t>Machinery, Equip. &amp; Water Wells</t>
  </si>
  <si>
    <t>W &amp; WW System Supt. Auto Allowance @250/mon.</t>
  </si>
  <si>
    <t>Legal Services &amp; Professional Servs.</t>
  </si>
  <si>
    <t>Portable metal equipment storage bldg. at park</t>
  </si>
  <si>
    <t>Safety Boots:  2 at 100 each</t>
  </si>
  <si>
    <t>Municipal Court Judge @ $2,108/mon.</t>
  </si>
  <si>
    <t>Total Buildings &amp; Structures</t>
  </si>
  <si>
    <t>Floodplain Mgmt.</t>
  </si>
  <si>
    <t>Code Enforcement Assoc.</t>
  </si>
  <si>
    <t>Insurance, Bonds, &amp; Notary Fees</t>
  </si>
  <si>
    <t>Collection fees to Perdue, Brandon at $800/mon. avg.</t>
  </si>
  <si>
    <t>Cell phone for Judge</t>
  </si>
  <si>
    <t>Security renovations to entrance foyer &amp; clerk's office</t>
  </si>
  <si>
    <t>Heating &amp; AC Maintenance</t>
  </si>
  <si>
    <t xml:space="preserve">Municipal Court Warrant Prog. </t>
  </si>
  <si>
    <t xml:space="preserve">Clean up &amp; replace exterior landscaping </t>
  </si>
  <si>
    <t>Insurance, Bonds &amp; Notary Fees</t>
  </si>
  <si>
    <t>Safety gear &amp; misc. clothing</t>
  </si>
  <si>
    <t>Anti-Scallant</t>
  </si>
  <si>
    <t>5-Micron Filters</t>
  </si>
  <si>
    <t>Other Chemicals</t>
  </si>
  <si>
    <t>Regular AT&amp;T serv.</t>
  </si>
  <si>
    <t>Mobile serv.</t>
  </si>
  <si>
    <t>Copy machine rent @ $100/mon.</t>
  </si>
  <si>
    <t>Misc. equipment rent</t>
  </si>
  <si>
    <t>Water samples</t>
  </si>
  <si>
    <t>Routine Plant Maintenance</t>
  </si>
  <si>
    <t>Water Well maintenance</t>
  </si>
  <si>
    <t>Clean RO Trains A &amp; B</t>
  </si>
  <si>
    <t>Clean RO Trains C &amp; D</t>
  </si>
  <si>
    <t>Dues</t>
  </si>
  <si>
    <t>License renewals</t>
  </si>
  <si>
    <t>Continuing Ed for C Water Cert.</t>
  </si>
  <si>
    <t>Secure locker &amp; equipment storage bins</t>
  </si>
  <si>
    <t>Other Projects</t>
  </si>
  <si>
    <t>Automated operation of RO Plant and System</t>
  </si>
  <si>
    <t xml:space="preserve">Electrical grounding and Lightning Protection at Cottonwood </t>
  </si>
  <si>
    <t>Plant and Elevated Water Storage Towers</t>
  </si>
  <si>
    <t>1/2 Annual Financial Audit</t>
  </si>
  <si>
    <t>1/2 City Hall electricity</t>
  </si>
  <si>
    <t xml:space="preserve">Consumer Confidence Reports (CCRs) </t>
  </si>
  <si>
    <t>Heating &amp; AC system</t>
  </si>
  <si>
    <t>1/2 City Hall Heating &amp; AC System maintenance</t>
  </si>
  <si>
    <t xml:space="preserve">Heating &amp; AC System </t>
  </si>
  <si>
    <t>Transfer to General Fund for Admin. Servs.</t>
  </si>
  <si>
    <t>Asst. Operator</t>
  </si>
  <si>
    <t>Engineering Servs.</t>
  </si>
  <si>
    <t>Dental:  3 @ 24/mon. ea.</t>
  </si>
  <si>
    <t>Life: 3 @ 3/mon. ea.</t>
  </si>
  <si>
    <t xml:space="preserve">Air Evac Ambul. Membership:  3 @ 55/yr. ea. </t>
  </si>
  <si>
    <t>SO2</t>
  </si>
  <si>
    <t>Chlorine</t>
  </si>
  <si>
    <t>Sludge Dewatering &amp; Disposal</t>
  </si>
  <si>
    <t>Sampling Fees</t>
  </si>
  <si>
    <t>Regular Serv.</t>
  </si>
  <si>
    <t>Electricity:  WWTP</t>
  </si>
  <si>
    <t>Electricity:  Lift Stations</t>
  </si>
  <si>
    <t>Training &amp; Certification renewals</t>
  </si>
  <si>
    <t>Heating &amp; AC System Maintenance</t>
  </si>
  <si>
    <t>Safety equipment, boots, raincoats, etc.</t>
  </si>
  <si>
    <t>Enzymes, degreasers, etc.</t>
  </si>
  <si>
    <t>Travel to Training &amp; Certification classes</t>
  </si>
  <si>
    <t>Annual Water System Permit fee</t>
  </si>
  <si>
    <t>Routine office &amp; warehouse bldg. maintenancee</t>
  </si>
  <si>
    <t>Heating &amp; AC System maintenance</t>
  </si>
  <si>
    <t>Certification training</t>
  </si>
  <si>
    <t>Water Meter repl.</t>
  </si>
  <si>
    <t>Trench Safety Shoring</t>
  </si>
  <si>
    <t>Total W &amp; S System O &amp; M Transfers</t>
  </si>
  <si>
    <t>Certification Pay:</t>
  </si>
  <si>
    <t>Dental:  12 @ 24/mon. ea.</t>
  </si>
  <si>
    <t>Life:  12 @ 3/mon. ea.</t>
  </si>
  <si>
    <t xml:space="preserve">Air Evac Ambul. Membership:  12 @ 55/yr. ea. </t>
  </si>
  <si>
    <t>1/2 AC/Heating system maintenance</t>
  </si>
  <si>
    <t>DEBT SERVICE</t>
  </si>
  <si>
    <t>TxCDBG Grant 7214251</t>
  </si>
  <si>
    <t>Non-Professional Services</t>
  </si>
  <si>
    <t>Assoc. Judge's position at $500/mon.</t>
  </si>
  <si>
    <t>Muni Court Judge &amp; Assoc. Judge's Training</t>
  </si>
  <si>
    <t>TxCDBG Project</t>
  </si>
  <si>
    <t>Local contribution to TxCDBG Sewer Project</t>
  </si>
  <si>
    <t>Transfer to Paving Fund</t>
  </si>
  <si>
    <t>Merit Pay allowance</t>
  </si>
  <si>
    <t>Longevity Pay:  Yrs. of Serv.  X $150/yr.</t>
  </si>
  <si>
    <t>City Council Travel/Training</t>
  </si>
  <si>
    <t>Total Equip. &amp; Vehicle Main.                                  *</t>
  </si>
  <si>
    <t>Total Consumable Supplies                              *</t>
  </si>
  <si>
    <t>00-302.07</t>
  </si>
  <si>
    <t>Solid Waste Franchise Tax</t>
  </si>
  <si>
    <t>Liquid Waste Disposal Sale</t>
  </si>
  <si>
    <t>Travel Exp Incl. Food &amp; Lodging</t>
  </si>
  <si>
    <t>Other Bldg/Struct Maintenance</t>
  </si>
  <si>
    <t>Dues &amp; subscriptions</t>
  </si>
  <si>
    <t>Machinery Off-Road Equipment</t>
  </si>
  <si>
    <t>Total Chemical &amp; Medical</t>
  </si>
  <si>
    <t xml:space="preserve">Tyler Technology Software maintenance:  Split 50/50 between </t>
  </si>
  <si>
    <t>Retired Firemen Pension payments @ $208/mon.</t>
  </si>
  <si>
    <t>Uniforms:  2 empls. @ $1,000/yr.</t>
  </si>
  <si>
    <t>Employee Hosp./Medical:  3 @ 7,928/yr.</t>
  </si>
  <si>
    <t xml:space="preserve">         General &amp; Utility GL maintenance @ 850/yr.</t>
  </si>
  <si>
    <t>Badger Meter read interface @ 750/yr.</t>
  </si>
  <si>
    <t>Cash collection @ 1400/yr.</t>
  </si>
  <si>
    <t>Utility system @ 2900/yr.</t>
  </si>
  <si>
    <t>Payroll/Personnel @ 1900/yr.</t>
  </si>
  <si>
    <t>Basic network @ 900/yr.</t>
  </si>
  <si>
    <t>Core Financial maintenance @ 2800/yr.</t>
  </si>
  <si>
    <t>Receipt printer @ 370/yr.</t>
  </si>
  <si>
    <t>Cash drawer @ 120/yr.</t>
  </si>
  <si>
    <t>Anti Virus @ 250/yr.</t>
  </si>
  <si>
    <t>2009 CO's Comb. Tax &amp; Rev. (76% Gen. &amp; 24% Utility)</t>
  </si>
  <si>
    <t>AC/Heat System</t>
  </si>
  <si>
    <t>Patrol Officer Det. Cpl.</t>
  </si>
  <si>
    <t>Employee Hosp./Medical:  12 @ 7,928/yr.</t>
  </si>
  <si>
    <t>12 pairs of boots @ 100 ea.</t>
  </si>
  <si>
    <t>Meals &amp; Food</t>
  </si>
  <si>
    <t>Employee Hosp./Medical:  1 @ 7,928/yr.</t>
  </si>
  <si>
    <t>AC/Heating system maintenance in ACO office</t>
  </si>
  <si>
    <t xml:space="preserve">Repl. bunker gear </t>
  </si>
  <si>
    <t>Telephone &amp; mobile service</t>
  </si>
  <si>
    <t>Voice notification service</t>
  </si>
  <si>
    <t>Heating &amp; cooling system maintenance</t>
  </si>
  <si>
    <t>Traffic sign repl.</t>
  </si>
  <si>
    <t>1 Speed Hump installation</t>
  </si>
  <si>
    <t>Employee Hosp./Medical:  2 @ 7,928/yr.</t>
  </si>
  <si>
    <t>W/C Insur. @ 2.53/100</t>
  </si>
  <si>
    <t>Employee Bonds:  2 @ $50/yr.</t>
  </si>
  <si>
    <t>Payment Drop Box</t>
  </si>
  <si>
    <t>Muni Court Clerk Training</t>
  </si>
  <si>
    <t>TMCA dues</t>
  </si>
  <si>
    <t>Employee Hosp./Medical:  2 @ 7,928/yr..</t>
  </si>
  <si>
    <t>Copy machine rent</t>
  </si>
  <si>
    <t>Postage meteer</t>
  </si>
  <si>
    <t>Property &amp; Casuaslity insur. Coverage</t>
  </si>
  <si>
    <t>between General &amp; Utility</t>
  </si>
  <si>
    <t xml:space="preserve">Tyler Technology Software maintenance:  Split 50/50 </t>
  </si>
  <si>
    <t>GL maintenance @ 850</t>
  </si>
  <si>
    <t>Badger Meter read interface @ 750</t>
  </si>
  <si>
    <t>Cash collection @ 1400</t>
  </si>
  <si>
    <t>Utility system @ 2900</t>
  </si>
  <si>
    <t>Payroll/personnel @ 1900</t>
  </si>
  <si>
    <t>Basic network @ 900</t>
  </si>
  <si>
    <t>Core Financial Maintenance @ 2800</t>
  </si>
  <si>
    <t>Receipt printer @ 370</t>
  </si>
  <si>
    <t>Cash drawer @ 120</t>
  </si>
  <si>
    <t>Anti-Virus @ 250</t>
  </si>
  <si>
    <t>Repl. 2 computers</t>
  </si>
  <si>
    <t>2009 Comb. Tax &amp; Rev. CO's. (76% Gen. &amp; 24% Util.)</t>
  </si>
  <si>
    <t>W/C Insur. @ 3.01/100</t>
  </si>
  <si>
    <t>Caustics, Chlorine, CO2, etc.</t>
  </si>
  <si>
    <t>RO Plant &amp; Well #s 8 and 10</t>
  </si>
  <si>
    <t xml:space="preserve">W Well #s 11, 13, 14 &amp; 15 </t>
  </si>
  <si>
    <t>3 yr. LP for new F-150 reg. cab PU to repl. 2008 Dodge</t>
  </si>
  <si>
    <t>Cars &amp; trucks</t>
  </si>
  <si>
    <t>W/C Insur. @ 2.62/100</t>
  </si>
  <si>
    <t>Mobile phone serv.</t>
  </si>
  <si>
    <t>Office &amp; Fax service</t>
  </si>
  <si>
    <t>Copy machine</t>
  </si>
  <si>
    <t xml:space="preserve">Maint. Off-road Equip. </t>
  </si>
  <si>
    <t xml:space="preserve">Maint. Cars &amp; Trucks </t>
  </si>
  <si>
    <t>TWUA dues</t>
  </si>
  <si>
    <t>Repl. FHs @ 2,100 ea.</t>
  </si>
  <si>
    <t>Garage door  &amp; Wall repl./repair</t>
  </si>
  <si>
    <t>Escondido St. Warehouse Roof Repl.</t>
  </si>
  <si>
    <t>Arsenic membrane replacement (Sch. for 2016-17)</t>
  </si>
  <si>
    <t>Bldgs. &amp; Structures</t>
  </si>
  <si>
    <t>Total Bldgs. &amp; Structures</t>
  </si>
  <si>
    <t>Concrete repairs &amp; enlargement:  Well # 8; Chlorine</t>
  </si>
  <si>
    <t>room foundation; Arsorber bldg.; and, Main Plant</t>
  </si>
  <si>
    <t>bldg. entrance</t>
  </si>
  <si>
    <t xml:space="preserve">Total Emergency Mangmt. </t>
  </si>
  <si>
    <t>Legal &amp; Accounting services</t>
  </si>
  <si>
    <t>W/C Insur. @ 2.14/100</t>
  </si>
  <si>
    <t xml:space="preserve">   Container Rent @ 4000/mon.</t>
  </si>
  <si>
    <t xml:space="preserve">   Roll-off container rent &amp; disposal</t>
  </si>
  <si>
    <t>TCEQ WWTP annual permit renewal</t>
  </si>
  <si>
    <t>Fence upgrades (4 yr. project)</t>
  </si>
  <si>
    <t>Ph monitors in 2 Wet Wells</t>
  </si>
  <si>
    <t>Repl. Clarifier # 2 RAS Pump</t>
  </si>
  <si>
    <t>Repl. Clarfier # 4 RAS Pump</t>
  </si>
  <si>
    <t>Add Aeration Blower</t>
  </si>
  <si>
    <t>PH/DO/Conductivity meter</t>
  </si>
  <si>
    <t>Rehab. School Street Lift Station</t>
  </si>
  <si>
    <t>Sludge Bed rehab.</t>
  </si>
  <si>
    <t xml:space="preserve">              REVENUE</t>
  </si>
  <si>
    <t xml:space="preserve">              EXPENSE</t>
  </si>
  <si>
    <t>RO Plant: Upgrade PLC system</t>
  </si>
  <si>
    <t xml:space="preserve">  CIP Fund</t>
  </si>
  <si>
    <t>12 @ 1,000/yr.</t>
  </si>
  <si>
    <t>Other phone line rental/service</t>
  </si>
  <si>
    <t>Veterinarian services for Parvo, Kennel</t>
  </si>
  <si>
    <t xml:space="preserve">Radio System  </t>
  </si>
  <si>
    <t>Budget 2016-17</t>
  </si>
  <si>
    <t>Proposed</t>
  </si>
  <si>
    <t>.</t>
  </si>
  <si>
    <t>00-308.10</t>
  </si>
  <si>
    <t>Actual 5/31/17</t>
  </si>
  <si>
    <t xml:space="preserve"> Estimated</t>
  </si>
  <si>
    <t>Budget 2017-18</t>
  </si>
  <si>
    <t>2016 Bonds</t>
  </si>
  <si>
    <t>2017-2018</t>
  </si>
  <si>
    <t>W Well #___________</t>
  </si>
  <si>
    <t>2016 Bond</t>
  </si>
  <si>
    <t>Director of Public Works</t>
  </si>
  <si>
    <t>Wegner</t>
  </si>
  <si>
    <t>Salinas</t>
  </si>
  <si>
    <t>Part-time salaries</t>
  </si>
  <si>
    <t>Cars &amp; Trucks Maintenance</t>
  </si>
  <si>
    <t>TXCDBG 2016 Grant</t>
  </si>
  <si>
    <t>TxCDBG 2016 Grant</t>
  </si>
  <si>
    <t>RO: Train C Pre Booster Pump D repl</t>
  </si>
  <si>
    <t>00-308.11</t>
  </si>
  <si>
    <t>Ramp Grant Revenue</t>
  </si>
  <si>
    <t>Machinery/Tools/Implements</t>
  </si>
  <si>
    <t>Meals, Meetings &amp; Events</t>
  </si>
  <si>
    <t>Supplies Unique to Dept</t>
  </si>
  <si>
    <t>Other Maint.</t>
  </si>
  <si>
    <t>Solid Waste Collection Ser</t>
  </si>
  <si>
    <t>Meals, Meetings &amp; Spec. Events</t>
  </si>
  <si>
    <t>30-30-670.10</t>
  </si>
  <si>
    <t>TIRZ 2</t>
  </si>
  <si>
    <t>TIRZ Advalorem tax - Escondido WS</t>
  </si>
  <si>
    <t>TIRZ Advalorem tax - Karnes County</t>
  </si>
  <si>
    <t>TIRZ Advalorem tax-SARA</t>
  </si>
  <si>
    <t>TIRZ Advalorem tax-Otto Kaiser</t>
  </si>
  <si>
    <t>TIRZ Advalorem tax-City of Kenedy</t>
  </si>
  <si>
    <t xml:space="preserve">Total                               </t>
  </si>
  <si>
    <t>TIRZ Misc Exp</t>
  </si>
  <si>
    <t>TIRZ Reimb. To Developer</t>
  </si>
  <si>
    <t>2017 Bonds</t>
  </si>
  <si>
    <t xml:space="preserve">  </t>
  </si>
  <si>
    <t xml:space="preserve">TxCDBG Grant </t>
  </si>
  <si>
    <t>2016 CO Bond Construction Fund</t>
  </si>
  <si>
    <t xml:space="preserve">      </t>
  </si>
  <si>
    <t>East Main Drainage Improvements</t>
  </si>
  <si>
    <t>FM 743 Water Line Improvements</t>
  </si>
  <si>
    <t>Projected</t>
  </si>
  <si>
    <t>370.20</t>
  </si>
  <si>
    <t>Minor Tools</t>
  </si>
  <si>
    <t>Comm. Telephone/Internet</t>
  </si>
  <si>
    <t>Casanova</t>
  </si>
  <si>
    <t>Det. Sergeant</t>
  </si>
  <si>
    <t>Barrientez</t>
  </si>
  <si>
    <t>Elizondo</t>
  </si>
  <si>
    <t>Petitlis</t>
  </si>
  <si>
    <t>Castillo</t>
  </si>
  <si>
    <t>Rodriguez</t>
  </si>
  <si>
    <t>Mercado</t>
  </si>
  <si>
    <t>Maldonado</t>
  </si>
  <si>
    <t>Garcia</t>
  </si>
  <si>
    <t>Martinez</t>
  </si>
  <si>
    <t>Venecia</t>
  </si>
  <si>
    <t>DuBose</t>
  </si>
  <si>
    <t>Overtime 5%</t>
  </si>
  <si>
    <t xml:space="preserve">Annual </t>
  </si>
  <si>
    <t>Subtotal</t>
  </si>
  <si>
    <t>25 sets repl. Uniforms @ 100 ea.</t>
  </si>
  <si>
    <t>Gasoline</t>
  </si>
  <si>
    <t>Furnituer &amp; fixtures</t>
  </si>
  <si>
    <t>Prososed</t>
  </si>
  <si>
    <t>2017-18</t>
  </si>
  <si>
    <t>New Commercial riding mower</t>
  </si>
  <si>
    <t xml:space="preserve">Chemical </t>
  </si>
  <si>
    <t>Medical supplies</t>
  </si>
  <si>
    <t>2016 Combo Tax &amp; Rev Certif of Obligation</t>
  </si>
  <si>
    <t xml:space="preserve">2017 Cert of Ob &amp; WWS </t>
  </si>
  <si>
    <t>Rent &amp; Lease Pmts</t>
  </si>
  <si>
    <t>(Celaya, Smart &amp; Johnston families - well testing land rent)</t>
  </si>
  <si>
    <t>(for 2018 1/3 street,water,sewer)</t>
  </si>
  <si>
    <t>(for 2018 1/3 street,2/3 water,sewer)</t>
  </si>
  <si>
    <t>Crew Foreman</t>
  </si>
  <si>
    <t>L. Gonzales</t>
  </si>
  <si>
    <t>A.Bryan</t>
  </si>
  <si>
    <t>J Gonzales</t>
  </si>
  <si>
    <t>J Cruz</t>
  </si>
  <si>
    <t>Vasques</t>
  </si>
  <si>
    <t>C Bryan</t>
  </si>
  <si>
    <t>E Quint</t>
  </si>
  <si>
    <t>Perez</t>
  </si>
  <si>
    <t>Crew Member</t>
  </si>
  <si>
    <t xml:space="preserve">Crew Member </t>
  </si>
  <si>
    <t>Machinery &amp; Equipment -Pump motors</t>
  </si>
  <si>
    <t>Routine bldg. maintenance -Counter top/Commode</t>
  </si>
  <si>
    <t xml:space="preserve">   Disposal </t>
  </si>
  <si>
    <t>Mobile Phones (req. 2 more phones)</t>
  </si>
  <si>
    <t>Lot Clearing &amp; Debris Removal</t>
  </si>
  <si>
    <t xml:space="preserve">Karnes County Appr. Dist. </t>
  </si>
  <si>
    <t>Fire Truck monthly pmt $2727/mo</t>
  </si>
  <si>
    <t>3 yr.(FINAL) LP Skid Steer Bobcat Loader</t>
  </si>
  <si>
    <t>Certification Pay  (Water/Wastewater License)</t>
  </si>
  <si>
    <t>Excavator (3 yr payout)</t>
  </si>
  <si>
    <t>Off road Equipment (as needed)</t>
  </si>
  <si>
    <t>CSI training/meter training</t>
  </si>
  <si>
    <t>to Texas Comptroller; est. @ $11,500/qrt.</t>
  </si>
  <si>
    <t>Emergency Generator</t>
  </si>
  <si>
    <t>Transfer to Paving Fund @ 41,667/mon.</t>
  </si>
  <si>
    <t>Transfers to Capital Impr. Fd</t>
  </si>
  <si>
    <t>Total WWTP Div 62</t>
  </si>
  <si>
    <t>C. Cortez</t>
  </si>
  <si>
    <t>R Rodriguez</t>
  </si>
  <si>
    <t>Warehouse Attendant</t>
  </si>
  <si>
    <t>Maintenance Worker</t>
  </si>
  <si>
    <t>Yr. 3 of 3 yr. L/P F-250 ext. cab PU</t>
  </si>
  <si>
    <t>Yr. 3 of 3 yr. L/P F-750 Dump Truck</t>
  </si>
  <si>
    <t>Yr. 3 of 3 yr. L/P F-350 Service Body PU due 1/29/18</t>
  </si>
  <si>
    <t>City Secretary cell phone allowance@50/mon.</t>
  </si>
  <si>
    <t>Capital Outlay for New Equipment (Grant reimbursed)</t>
  </si>
  <si>
    <t xml:space="preserve">Amended </t>
  </si>
  <si>
    <t>Budget</t>
  </si>
  <si>
    <t>Amended</t>
  </si>
  <si>
    <t xml:space="preserve">Total Misc. Servs.                                </t>
  </si>
  <si>
    <t xml:space="preserve">                                                                         </t>
  </si>
  <si>
    <t xml:space="preserve">Total Water &amp; Sewer System Admin. </t>
  </si>
  <si>
    <t>Transfer to Capital Impr. Fd</t>
  </si>
  <si>
    <t>PAVING FUND</t>
  </si>
  <si>
    <t>EXPENSE</t>
  </si>
  <si>
    <t xml:space="preserve">Total                                           </t>
  </si>
  <si>
    <r>
      <t xml:space="preserve"> </t>
    </r>
    <r>
      <rPr>
        <b/>
        <sz val="10"/>
        <rFont val="Arial"/>
        <family val="2"/>
      </rPr>
      <t>Est. 9/30/17</t>
    </r>
  </si>
  <si>
    <r>
      <t xml:space="preserve"> </t>
    </r>
    <r>
      <rPr>
        <b/>
        <sz val="10"/>
        <rFont val="Arial"/>
        <family val="2"/>
      </rPr>
      <t>GRANT FUNDS</t>
    </r>
  </si>
  <si>
    <r>
      <t xml:space="preserve">                                   </t>
    </r>
    <r>
      <rPr>
        <b/>
        <sz val="10"/>
        <rFont val="Arial"/>
        <family val="2"/>
      </rPr>
      <t>2013-14 Debt Service Requirements</t>
    </r>
  </si>
  <si>
    <t>Adopted</t>
  </si>
  <si>
    <t>Actual 5/31/18</t>
  </si>
  <si>
    <t>Employee Bonus</t>
  </si>
  <si>
    <t>2018-2019</t>
  </si>
  <si>
    <t>TMRS Retirement @ 4.64%</t>
  </si>
  <si>
    <t>2018/2019</t>
  </si>
  <si>
    <t xml:space="preserve">Air Evac Ambul. Membership:  3 @ 55/yr. </t>
  </si>
  <si>
    <t xml:space="preserve">Air Evac Ambul. Membership  13 @ 55/yr. </t>
  </si>
  <si>
    <t>Supplies Unique to Departm</t>
  </si>
  <si>
    <t>Unif. Cleaning allowance @ $25/mon. per officer (12)</t>
  </si>
  <si>
    <t>12 officers @ 250/yr.</t>
  </si>
  <si>
    <t>COPsync fees:  13 officers @ $34.95/mon.; $420/yr.</t>
  </si>
  <si>
    <t>05-Community Develppment/ Code Compliance</t>
  </si>
  <si>
    <t>Code Compliance Officer/Building Official</t>
  </si>
  <si>
    <t xml:space="preserve">TMRS Retirement @ 4.64% </t>
  </si>
  <si>
    <t>Yr. 3 of 3 yr. L/P forr F-150 1/2 ton PU</t>
  </si>
  <si>
    <t>NSF Fees- WW</t>
  </si>
  <si>
    <t>Total Sundry</t>
  </si>
  <si>
    <t>Ashland Water Sales</t>
  </si>
  <si>
    <t>Ashland Sewer</t>
  </si>
  <si>
    <t>Dues, Fees &amp; Subscriptions</t>
  </si>
  <si>
    <t>30-30-640-00</t>
  </si>
  <si>
    <t>Misc Income</t>
  </si>
  <si>
    <t>Int Earned</t>
  </si>
  <si>
    <t>2018-19</t>
  </si>
  <si>
    <t>Proposed Budget</t>
  </si>
  <si>
    <t>Amount</t>
  </si>
  <si>
    <t xml:space="preserve">Proposed </t>
  </si>
  <si>
    <t>Patrol Officer</t>
  </si>
  <si>
    <t>Medical</t>
  </si>
  <si>
    <t>Physical Exams/Criminal Investigative Exams</t>
  </si>
  <si>
    <t>Non-professional services</t>
  </si>
  <si>
    <t>Food</t>
  </si>
  <si>
    <t>Travel Expenses</t>
  </si>
  <si>
    <t>Janitoral</t>
  </si>
  <si>
    <t>Employee Hosp./Medical:  1 @ 8400/yr.</t>
  </si>
  <si>
    <t>Dental:  1 @ 38/mon.</t>
  </si>
  <si>
    <t>Life:  1 @ 7/mon</t>
  </si>
  <si>
    <t>Employee Hosp./Medical:  13 @ 8,400/yr.</t>
  </si>
  <si>
    <t>Dental:  13 @ 38/mon.</t>
  </si>
  <si>
    <t>LT Disability @ .61% of Covered Payroll</t>
  </si>
  <si>
    <t>Life:  13 @ 7/mon.</t>
  </si>
  <si>
    <t>Supplies Unique to Dept (ammo)</t>
  </si>
  <si>
    <t>Insurance/Bonds/Notary Fees</t>
  </si>
  <si>
    <t>Furniture and Fixtures</t>
  </si>
  <si>
    <t>Machinery/Tools &amp; Implements</t>
  </si>
  <si>
    <t>Vehicle Maintenance</t>
  </si>
  <si>
    <t>Training, Testing, and CI Exams</t>
  </si>
  <si>
    <t>Cars &amp; Trucks- Capital Outlay</t>
  </si>
  <si>
    <t>(Purchase 2 New Expeditions 1 of 4 payments)</t>
  </si>
  <si>
    <t>Certification Pay</t>
  </si>
  <si>
    <t>Employee Hosp./Medical:  1 @ 8400/yr</t>
  </si>
  <si>
    <t>LT Disability @ .61% per Covered Payroll</t>
  </si>
  <si>
    <t>Life:  1 @ 7/mon.</t>
  </si>
  <si>
    <t>Cough, etc. vacinations ($10,000)</t>
  </si>
  <si>
    <t>Veterinarian services ($5,000)</t>
  </si>
  <si>
    <t>Employee Health Insurance</t>
  </si>
  <si>
    <t xml:space="preserve">Employee Uniforms &amp; Safety Equipment </t>
  </si>
  <si>
    <t>Building &amp; Structures (New Kennels)</t>
  </si>
  <si>
    <t>Machinery/Tool/Implements</t>
  </si>
  <si>
    <t>Totals:</t>
  </si>
  <si>
    <t>AC/Heat System Maintenance</t>
  </si>
  <si>
    <t>Uniforms &amp; Apparel</t>
  </si>
  <si>
    <t xml:space="preserve">Equipment Rental </t>
  </si>
  <si>
    <r>
      <t xml:space="preserve">Advertising </t>
    </r>
    <r>
      <rPr>
        <sz val="10"/>
        <color theme="1"/>
        <rFont val="Arial"/>
        <family val="2"/>
      </rPr>
      <t>(Public notices including Door Hangers,</t>
    </r>
  </si>
  <si>
    <t>Vehicle Tags, Sub-Standard Structure Notices, PR materials, etc.)</t>
  </si>
  <si>
    <t>Employee Hosp./Medical:  9@ 8,400/yr.</t>
  </si>
  <si>
    <t>Dental:  9 @ 38/month</t>
  </si>
  <si>
    <t xml:space="preserve">Life:  9 @ 7/mon. ea. </t>
  </si>
  <si>
    <t xml:space="preserve">Air Evac Ambul. Membership: 9@ 55/yr.  </t>
  </si>
  <si>
    <t>Employee bonus</t>
  </si>
  <si>
    <t>Meals, Meetings, &amp; Events</t>
  </si>
  <si>
    <t>Minor Tools/ Rapid Depreciation</t>
  </si>
  <si>
    <t>Supplies Unique to Department</t>
  </si>
  <si>
    <t>00-304.07</t>
  </si>
  <si>
    <t>Liens &amp; Lot Maintenance</t>
  </si>
  <si>
    <t xml:space="preserve">1/2 Annual Financial Audit </t>
  </si>
  <si>
    <t>Employee Hosp./Medical:  3 @ 8,400</t>
  </si>
  <si>
    <t xml:space="preserve">Dental:  3@ 38/mon.  </t>
  </si>
  <si>
    <t>Custodial service @ 1500/mon.</t>
  </si>
  <si>
    <t>Equipment Maintenance</t>
  </si>
  <si>
    <t>Training and Testing</t>
  </si>
  <si>
    <t>Furniture/Fixtures</t>
  </si>
  <si>
    <t>Economic Development (HEB Agreement)</t>
  </si>
  <si>
    <t>Downtown Revenue Project</t>
  </si>
  <si>
    <t>Consulting Services</t>
  </si>
  <si>
    <t>Paving Fund Transfer</t>
  </si>
  <si>
    <t>County Fees</t>
  </si>
  <si>
    <t>County Tax Attorney Fees</t>
  </si>
  <si>
    <t>Uniforms and Apparel</t>
  </si>
  <si>
    <t>Gasoline and Lubricants</t>
  </si>
  <si>
    <t>Christmas Festival</t>
  </si>
  <si>
    <t>Collection Station Waste</t>
  </si>
  <si>
    <t>Total Equipment Maintenance</t>
  </si>
  <si>
    <t>Meals, Meetings, and Events</t>
  </si>
  <si>
    <t>Consumable Chemicals</t>
  </si>
  <si>
    <t>Janitoial Supplies</t>
  </si>
  <si>
    <t>Fire Hose Lines</t>
  </si>
  <si>
    <t>Building &amp; Structures</t>
  </si>
  <si>
    <t>Building Repair &amp; Maintenance</t>
  </si>
  <si>
    <t>Meals, Meetings and Events</t>
  </si>
  <si>
    <t>Off Road Equipment Maintenance</t>
  </si>
  <si>
    <t>Telephone/ Internet</t>
  </si>
  <si>
    <t>Food for Volunteers</t>
  </si>
  <si>
    <t>Meals: Meetings &amp; Events</t>
  </si>
  <si>
    <t>Solid Waste Collection Services</t>
  </si>
  <si>
    <t>Professional Fees</t>
  </si>
  <si>
    <t>Off-Road Equip</t>
  </si>
  <si>
    <t>Transfers to Capital Impr Fd</t>
  </si>
  <si>
    <t>Travel Exp Incl Food &amp; Lodging</t>
  </si>
  <si>
    <t>Other Bldg/ Struct Maintenance</t>
  </si>
  <si>
    <t>Heating &amp; AC System</t>
  </si>
  <si>
    <t>Transfer to Capital Impr Fd</t>
  </si>
  <si>
    <t>Meals, Meetings &amp; Spec Events</t>
  </si>
  <si>
    <t xml:space="preserve">2016 GO Refunding Bonds </t>
  </si>
  <si>
    <t>2009 Tax &amp; WW Rev. CO's</t>
  </si>
  <si>
    <t>2016 Combo Tax &amp; Rev. CO's</t>
  </si>
  <si>
    <t>Heating &amp; Cooling System Maintenance</t>
  </si>
  <si>
    <t>Debris removal &amp; structure demolition</t>
  </si>
  <si>
    <t>Vehicle Main.</t>
  </si>
  <si>
    <t>Life:  3 @ 7/mon.</t>
  </si>
  <si>
    <t xml:space="preserve">Total: </t>
  </si>
  <si>
    <t>Master License: 2 @ $2,000 ea</t>
  </si>
  <si>
    <t>Advanced License: 3 @ $1,500 ea</t>
  </si>
  <si>
    <t>Intermediate License: 4@ $1,000</t>
  </si>
  <si>
    <t>Yearly</t>
  </si>
  <si>
    <t>Structural Demo</t>
  </si>
  <si>
    <t>Debris Removal &amp;</t>
  </si>
  <si>
    <t>Overtime (5%)</t>
  </si>
  <si>
    <t>Grand Total</t>
  </si>
  <si>
    <t>Part Time Employee</t>
  </si>
  <si>
    <t>Cashier/Clerk</t>
  </si>
  <si>
    <t>Part Time Operator</t>
  </si>
  <si>
    <t>Elected Officials/Vol</t>
  </si>
  <si>
    <t>Workers Comp Insurance</t>
  </si>
  <si>
    <t>Worker's Comp Insurance</t>
  </si>
  <si>
    <t>4B Corp Reimbursements</t>
  </si>
  <si>
    <t>Balance 10/01</t>
  </si>
  <si>
    <t>Chamber of Commerce</t>
  </si>
  <si>
    <t>Civic Center Proj.-Prof Svc</t>
  </si>
  <si>
    <t>Interest Income</t>
  </si>
  <si>
    <t>Construction Costs</t>
  </si>
  <si>
    <t>Other Fees</t>
  </si>
  <si>
    <t>Legal &amp; Professional</t>
  </si>
  <si>
    <t>Total East Main Drainage Improvement</t>
  </si>
  <si>
    <t>Total FM743 Water Line Improvement</t>
  </si>
  <si>
    <t xml:space="preserve">Legal &amp; Professional </t>
  </si>
  <si>
    <t>Mensik Unit</t>
  </si>
  <si>
    <t>Hemby A1 Royalty</t>
  </si>
  <si>
    <t>Hemby A2 Royalty</t>
  </si>
  <si>
    <t>Hemby A3 Royalty</t>
  </si>
  <si>
    <t>Hemby B1 Royalty</t>
  </si>
  <si>
    <t xml:space="preserve">Young/Kenedy Corp </t>
  </si>
  <si>
    <t>Blackjack Royalty</t>
  </si>
  <si>
    <t>Hemby A4, A5, A6 Etc. Royalty</t>
  </si>
  <si>
    <t xml:space="preserve">Marathon 2017 Lease </t>
  </si>
  <si>
    <t>Other Royalties</t>
  </si>
  <si>
    <t>Transfers from W&amp;S</t>
  </si>
  <si>
    <t>70-00-370.03</t>
  </si>
  <si>
    <t>WWS Prof Svc</t>
  </si>
  <si>
    <t xml:space="preserve">Nottingham Drainage </t>
  </si>
  <si>
    <t>Water Line Ext/Upgrades</t>
  </si>
  <si>
    <t>Sewer Line Ext/Upgrades</t>
  </si>
  <si>
    <t xml:space="preserve">    General Fund Income   CITY OF KENEDY   </t>
  </si>
  <si>
    <t>City of Kenedy 2018/2019 Proposed Budget</t>
  </si>
  <si>
    <t>Amended Budget</t>
  </si>
  <si>
    <t>RO: SCADA System Phase 1 New Office Addition, Fencing</t>
  </si>
  <si>
    <t>FM 719 Water Storage Project</t>
  </si>
  <si>
    <t>Water Tank Storage Rehab</t>
  </si>
  <si>
    <t>6" Cast Iron Water Main Hwy181</t>
  </si>
  <si>
    <t>HiServPumps/VFD_Panel/Valves/Pipes</t>
  </si>
  <si>
    <t>RO:Production Capacity Improvements</t>
  </si>
  <si>
    <t>Wastewater Treatment Plant Ugrades Phase 1</t>
  </si>
  <si>
    <t>2016 Bond (Paid by Waterworks &amp; Sewer)</t>
  </si>
  <si>
    <t>Total General Fund Expenses</t>
  </si>
  <si>
    <t>Freeny Lift Station Upgrades</t>
  </si>
  <si>
    <t>Chemical Storage Building</t>
  </si>
  <si>
    <t>Wastewater Treatment Plant Ugrades Phase 2</t>
  </si>
  <si>
    <t>Transfer from Utility Surplus Fund</t>
  </si>
  <si>
    <t>Transfer From Utility Surplus Funds- Apt Audit</t>
  </si>
  <si>
    <t>Transfer to Utility Surplus Funds- Apt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</si>
</sst>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3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615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2" fontId="3" fillId="0" borderId="0" xfId="0" applyNumberFormat="1" applyFont="1" applyFill="1"/>
    <xf numFmtId="2" fontId="3" fillId="0" borderId="0" xfId="0" applyNumberFormat="1" applyFont="1"/>
    <xf numFmtId="2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6" fillId="0" borderId="0" xfId="0" applyNumberFormat="1" applyFont="1"/>
    <xf numFmtId="3" fontId="7" fillId="0" borderId="0" xfId="0" applyNumberFormat="1" applyFont="1"/>
    <xf numFmtId="2" fontId="6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/>
    <xf numFmtId="0" fontId="10" fillId="0" borderId="0" xfId="0" applyFont="1"/>
    <xf numFmtId="3" fontId="10" fillId="0" borderId="0" xfId="0" applyNumberFormat="1" applyFont="1"/>
    <xf numFmtId="2" fontId="10" fillId="0" borderId="0" xfId="0" applyNumberFormat="1" applyFont="1"/>
    <xf numFmtId="3" fontId="11" fillId="0" borderId="0" xfId="0" applyNumberFormat="1" applyFon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5" fontId="12" fillId="0" borderId="0" xfId="0" applyNumberFormat="1" applyFont="1"/>
    <xf numFmtId="2" fontId="12" fillId="0" borderId="0" xfId="0" applyNumberFormat="1" applyFont="1"/>
    <xf numFmtId="0" fontId="11" fillId="0" borderId="0" xfId="0" applyFont="1" applyAlignment="1">
      <alignment horizontal="left"/>
    </xf>
    <xf numFmtId="165" fontId="10" fillId="0" borderId="0" xfId="0" applyNumberFormat="1" applyFont="1"/>
    <xf numFmtId="0" fontId="13" fillId="0" borderId="0" xfId="0" applyFont="1"/>
    <xf numFmtId="3" fontId="13" fillId="0" borderId="0" xfId="0" applyNumberFormat="1" applyFont="1"/>
    <xf numFmtId="2" fontId="11" fillId="0" borderId="0" xfId="0" applyNumberFormat="1" applyFont="1"/>
    <xf numFmtId="165" fontId="13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0" fillId="4" borderId="0" xfId="0" applyNumberFormat="1" applyFill="1"/>
    <xf numFmtId="165" fontId="1" fillId="0" borderId="0" xfId="0" applyNumberFormat="1" applyFont="1"/>
    <xf numFmtId="3" fontId="10" fillId="0" borderId="0" xfId="0" applyNumberFormat="1" applyFont="1" applyFill="1"/>
    <xf numFmtId="165" fontId="0" fillId="0" borderId="0" xfId="0" applyNumberFormat="1" applyFill="1"/>
    <xf numFmtId="165" fontId="3" fillId="0" borderId="0" xfId="0" applyNumberFormat="1" applyFont="1" applyFill="1"/>
    <xf numFmtId="165" fontId="2" fillId="0" borderId="0" xfId="0" applyNumberFormat="1" applyFont="1"/>
    <xf numFmtId="165" fontId="3" fillId="0" borderId="0" xfId="0" applyNumberFormat="1" applyFont="1" applyFill="1" applyAlignment="1">
      <alignment horizontal="right"/>
    </xf>
    <xf numFmtId="0" fontId="10" fillId="0" borderId="0" xfId="0" applyFont="1" applyFill="1"/>
    <xf numFmtId="2" fontId="11" fillId="0" borderId="0" xfId="0" applyNumberFormat="1" applyFont="1" applyFill="1"/>
    <xf numFmtId="2" fontId="10" fillId="0" borderId="0" xfId="0" applyNumberFormat="1" applyFont="1" applyFill="1"/>
    <xf numFmtId="165" fontId="12" fillId="0" borderId="0" xfId="0" applyNumberFormat="1" applyFont="1" applyFill="1"/>
    <xf numFmtId="165" fontId="13" fillId="0" borderId="0" xfId="0" applyNumberFormat="1" applyFont="1" applyFill="1"/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6" fillId="0" borderId="0" xfId="0" applyNumberFormat="1" applyFont="1"/>
    <xf numFmtId="0" fontId="1" fillId="0" borderId="2" xfId="0" applyFont="1" applyBorder="1"/>
    <xf numFmtId="3" fontId="12" fillId="0" borderId="2" xfId="0" applyNumberFormat="1" applyFont="1" applyBorder="1"/>
    <xf numFmtId="3" fontId="10" fillId="0" borderId="4" xfId="0" applyNumberFormat="1" applyFont="1" applyBorder="1"/>
    <xf numFmtId="165" fontId="0" fillId="0" borderId="2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/>
    <xf numFmtId="3" fontId="6" fillId="0" borderId="0" xfId="0" applyNumberFormat="1" applyFont="1" applyFill="1"/>
    <xf numFmtId="165" fontId="12" fillId="0" borderId="2" xfId="0" applyNumberFormat="1" applyFont="1" applyBorder="1"/>
    <xf numFmtId="3" fontId="9" fillId="0" borderId="0" xfId="0" quotePrefix="1" applyNumberFormat="1" applyFont="1" applyBorder="1"/>
    <xf numFmtId="0" fontId="9" fillId="0" borderId="0" xfId="0" applyFont="1" applyBorder="1" applyAlignment="1">
      <alignment horizontal="center"/>
    </xf>
    <xf numFmtId="0" fontId="17" fillId="0" borderId="0" xfId="0" applyFont="1"/>
    <xf numFmtId="3" fontId="0" fillId="0" borderId="0" xfId="0" applyNumberFormat="1" applyFill="1"/>
    <xf numFmtId="3" fontId="1" fillId="0" borderId="0" xfId="0" applyNumberFormat="1" applyFont="1" applyFill="1"/>
    <xf numFmtId="3" fontId="9" fillId="0" borderId="0" xfId="0" applyNumberFormat="1" applyFont="1" applyFill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5" fontId="0" fillId="0" borderId="4" xfId="0" applyNumberForma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8" fillId="6" borderId="0" xfId="0" applyFont="1" applyFill="1"/>
    <xf numFmtId="0" fontId="19" fillId="7" borderId="11" xfId="0" applyFont="1" applyFill="1" applyBorder="1"/>
    <xf numFmtId="0" fontId="19" fillId="7" borderId="11" xfId="0" applyFont="1" applyFill="1" applyBorder="1" applyAlignment="1">
      <alignment horizontal="center"/>
    </xf>
    <xf numFmtId="0" fontId="19" fillId="7" borderId="8" xfId="0" applyFont="1" applyFill="1" applyBorder="1"/>
    <xf numFmtId="0" fontId="19" fillId="7" borderId="2" xfId="0" applyFont="1" applyFill="1" applyBorder="1"/>
    <xf numFmtId="0" fontId="19" fillId="7" borderId="12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65" fontId="19" fillId="7" borderId="11" xfId="0" applyNumberFormat="1" applyFont="1" applyFill="1" applyBorder="1" applyAlignment="1">
      <alignment horizontal="center"/>
    </xf>
    <xf numFmtId="165" fontId="19" fillId="7" borderId="11" xfId="0" applyNumberFormat="1" applyFont="1" applyFill="1" applyBorder="1"/>
    <xf numFmtId="0" fontId="19" fillId="7" borderId="9" xfId="0" applyFont="1" applyFill="1" applyBorder="1"/>
    <xf numFmtId="165" fontId="19" fillId="7" borderId="12" xfId="0" applyNumberFormat="1" applyFont="1" applyFill="1" applyBorder="1" applyAlignment="1">
      <alignment horizontal="center"/>
    </xf>
    <xf numFmtId="0" fontId="21" fillId="0" borderId="1" xfId="0" applyFont="1" applyBorder="1"/>
    <xf numFmtId="8" fontId="19" fillId="0" borderId="0" xfId="0" applyNumberFormat="1" applyFont="1"/>
    <xf numFmtId="0" fontId="21" fillId="0" borderId="0" xfId="0" applyFont="1" applyBorder="1"/>
    <xf numFmtId="0" fontId="19" fillId="0" borderId="0" xfId="0" applyFont="1"/>
    <xf numFmtId="164" fontId="19" fillId="0" borderId="0" xfId="0" applyNumberFormat="1" applyFont="1"/>
    <xf numFmtId="0" fontId="19" fillId="7" borderId="2" xfId="0" applyFont="1" applyFill="1" applyBorder="1" applyAlignment="1">
      <alignment horizontal="center"/>
    </xf>
    <xf numFmtId="0" fontId="19" fillId="0" borderId="0" xfId="0" applyFont="1" applyAlignment="1"/>
    <xf numFmtId="164" fontId="19" fillId="0" borderId="0" xfId="0" applyNumberFormat="1" applyFont="1" applyAlignment="1"/>
    <xf numFmtId="164" fontId="1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9" fillId="0" borderId="0" xfId="0" applyNumberFormat="1" applyFont="1" applyBorder="1"/>
    <xf numFmtId="164" fontId="21" fillId="0" borderId="25" xfId="0" applyNumberFormat="1" applyFont="1" applyBorder="1"/>
    <xf numFmtId="164" fontId="19" fillId="0" borderId="25" xfId="0" applyNumberFormat="1" applyFont="1" applyBorder="1"/>
    <xf numFmtId="165" fontId="19" fillId="0" borderId="23" xfId="0" applyNumberFormat="1" applyFont="1" applyBorder="1"/>
    <xf numFmtId="165" fontId="19" fillId="7" borderId="7" xfId="0" applyNumberFormat="1" applyFont="1" applyFill="1" applyBorder="1" applyAlignment="1">
      <alignment horizontal="center"/>
    </xf>
    <xf numFmtId="165" fontId="19" fillId="7" borderId="9" xfId="0" applyNumberFormat="1" applyFont="1" applyFill="1" applyBorder="1" applyAlignment="1">
      <alignment horizontal="center"/>
    </xf>
    <xf numFmtId="8" fontId="19" fillId="0" borderId="30" xfId="0" applyNumberFormat="1" applyFont="1" applyBorder="1"/>
    <xf numFmtId="164" fontId="19" fillId="7" borderId="2" xfId="0" applyNumberFormat="1" applyFont="1" applyFill="1" applyBorder="1" applyAlignment="1"/>
    <xf numFmtId="164" fontId="19" fillId="7" borderId="2" xfId="0" applyNumberFormat="1" applyFont="1" applyFill="1" applyBorder="1"/>
    <xf numFmtId="164" fontId="19" fillId="0" borderId="21" xfId="0" applyNumberFormat="1" applyFont="1" applyBorder="1"/>
    <xf numFmtId="0" fontId="19" fillId="0" borderId="0" xfId="0" applyFont="1" applyFill="1"/>
    <xf numFmtId="0" fontId="19" fillId="0" borderId="0" xfId="0" applyFont="1" applyBorder="1" applyAlignment="1"/>
    <xf numFmtId="8" fontId="19" fillId="0" borderId="0" xfId="0" applyNumberFormat="1" applyFont="1" applyBorder="1"/>
    <xf numFmtId="164" fontId="19" fillId="0" borderId="0" xfId="0" applyNumberFormat="1" applyFont="1" applyBorder="1" applyAlignment="1"/>
    <xf numFmtId="7" fontId="19" fillId="0" borderId="0" xfId="0" applyNumberFormat="1" applyFont="1"/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5" fontId="22" fillId="3" borderId="0" xfId="0" applyNumberFormat="1" applyFont="1" applyFill="1" applyBorder="1" applyAlignment="1"/>
    <xf numFmtId="8" fontId="19" fillId="0" borderId="25" xfId="0" applyNumberFormat="1" applyFont="1" applyBorder="1"/>
    <xf numFmtId="0" fontId="19" fillId="7" borderId="6" xfId="0" applyFont="1" applyFill="1" applyBorder="1" applyAlignment="1"/>
    <xf numFmtId="164" fontId="19" fillId="7" borderId="0" xfId="0" applyNumberFormat="1" applyFont="1" applyFill="1" applyBorder="1" applyAlignment="1">
      <alignment horizontal="center"/>
    </xf>
    <xf numFmtId="0" fontId="19" fillId="7" borderId="0" xfId="0" applyFont="1" applyFill="1"/>
    <xf numFmtId="165" fontId="19" fillId="0" borderId="2" xfId="0" applyNumberFormat="1" applyFont="1" applyBorder="1"/>
    <xf numFmtId="165" fontId="19" fillId="0" borderId="0" xfId="0" applyNumberFormat="1" applyFont="1" applyFill="1"/>
    <xf numFmtId="0" fontId="19" fillId="7" borderId="0" xfId="0" applyFont="1" applyFill="1" applyAlignment="1">
      <alignment horizontal="center"/>
    </xf>
    <xf numFmtId="164" fontId="19" fillId="7" borderId="0" xfId="0" applyNumberFormat="1" applyFont="1" applyFill="1"/>
    <xf numFmtId="0" fontId="19" fillId="0" borderId="28" xfId="0" applyFont="1" applyBorder="1" applyAlignment="1"/>
    <xf numFmtId="0" fontId="19" fillId="0" borderId="29" xfId="0" applyFont="1" applyBorder="1" applyAlignment="1"/>
    <xf numFmtId="165" fontId="19" fillId="0" borderId="31" xfId="0" applyNumberFormat="1" applyFont="1" applyFill="1" applyBorder="1"/>
    <xf numFmtId="0" fontId="19" fillId="7" borderId="0" xfId="0" applyFont="1" applyFill="1" applyAlignment="1">
      <alignment horizontal="left"/>
    </xf>
    <xf numFmtId="0" fontId="19" fillId="7" borderId="10" xfId="0" applyFont="1" applyFill="1" applyBorder="1"/>
    <xf numFmtId="0" fontId="19" fillId="7" borderId="13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15" xfId="0" applyFont="1" applyBorder="1"/>
    <xf numFmtId="165" fontId="19" fillId="0" borderId="3" xfId="0" applyNumberFormat="1" applyFont="1" applyBorder="1"/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Fill="1" applyBorder="1"/>
    <xf numFmtId="164" fontId="19" fillId="0" borderId="0" xfId="0" applyNumberFormat="1" applyFont="1" applyAlignment="1">
      <alignment horizontal="right"/>
    </xf>
    <xf numFmtId="39" fontId="25" fillId="0" borderId="0" xfId="0" applyNumberFormat="1" applyFont="1"/>
    <xf numFmtId="8" fontId="19" fillId="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/>
    </xf>
    <xf numFmtId="0" fontId="26" fillId="0" borderId="0" xfId="0" applyFont="1"/>
    <xf numFmtId="164" fontId="19" fillId="7" borderId="0" xfId="0" applyNumberFormat="1" applyFont="1" applyFill="1" applyAlignment="1">
      <alignment horizontal="left"/>
    </xf>
    <xf numFmtId="164" fontId="19" fillId="7" borderId="0" xfId="0" applyNumberFormat="1" applyFont="1" applyFill="1" applyAlignment="1">
      <alignment horizontal="center"/>
    </xf>
    <xf numFmtId="165" fontId="27" fillId="4" borderId="0" xfId="0" applyNumberFormat="1" applyFont="1" applyFill="1"/>
    <xf numFmtId="8" fontId="19" fillId="0" borderId="25" xfId="0" applyNumberFormat="1" applyFont="1" applyFill="1" applyBorder="1"/>
    <xf numFmtId="164" fontId="19" fillId="0" borderId="25" xfId="0" applyNumberFormat="1" applyFont="1" applyFill="1" applyBorder="1"/>
    <xf numFmtId="165" fontId="19" fillId="0" borderId="23" xfId="0" applyNumberFormat="1" applyFont="1" applyFill="1" applyBorder="1"/>
    <xf numFmtId="165" fontId="19" fillId="0" borderId="26" xfId="0" applyNumberFormat="1" applyFont="1" applyFill="1" applyBorder="1"/>
    <xf numFmtId="8" fontId="19" fillId="0" borderId="0" xfId="0" applyNumberFormat="1" applyFont="1" applyFill="1"/>
    <xf numFmtId="164" fontId="19" fillId="0" borderId="25" xfId="0" applyNumberFormat="1" applyFont="1" applyFill="1" applyBorder="1" applyAlignment="1"/>
    <xf numFmtId="165" fontId="19" fillId="0" borderId="23" xfId="0" applyNumberFormat="1" applyFont="1" applyFill="1" applyBorder="1" applyAlignment="1"/>
    <xf numFmtId="164" fontId="19" fillId="0" borderId="0" xfId="0" applyNumberFormat="1" applyFont="1" applyFill="1"/>
    <xf numFmtId="0" fontId="19" fillId="0" borderId="0" xfId="0" applyFont="1" applyFill="1" applyBorder="1" applyAlignment="1"/>
    <xf numFmtId="8" fontId="19" fillId="0" borderId="0" xfId="0" applyNumberFormat="1" applyFont="1" applyFill="1" applyBorder="1"/>
    <xf numFmtId="164" fontId="19" fillId="0" borderId="0" xfId="0" applyNumberFormat="1" applyFont="1" applyFill="1" applyBorder="1" applyAlignment="1"/>
    <xf numFmtId="7" fontId="19" fillId="0" borderId="0" xfId="0" applyNumberFormat="1" applyFont="1" applyFill="1"/>
    <xf numFmtId="165" fontId="19" fillId="0" borderId="0" xfId="0" applyNumberFormat="1" applyFont="1" applyFill="1" applyAlignment="1">
      <alignment horizontal="right"/>
    </xf>
    <xf numFmtId="165" fontId="22" fillId="0" borderId="0" xfId="0" applyNumberFormat="1" applyFont="1" applyFill="1" applyBorder="1" applyAlignment="1"/>
    <xf numFmtId="164" fontId="19" fillId="0" borderId="1" xfId="0" applyNumberFormat="1" applyFont="1" applyFill="1" applyBorder="1"/>
    <xf numFmtId="0" fontId="19" fillId="0" borderId="24" xfId="0" applyFont="1" applyFill="1" applyBorder="1"/>
    <xf numFmtId="0" fontId="19" fillId="0" borderId="26" xfId="0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/>
    <xf numFmtId="0" fontId="3" fillId="0" borderId="13" xfId="0" applyFont="1" applyFill="1" applyBorder="1"/>
    <xf numFmtId="164" fontId="3" fillId="0" borderId="0" xfId="0" applyNumberFormat="1" applyFont="1" applyBorder="1"/>
    <xf numFmtId="0" fontId="3" fillId="0" borderId="10" xfId="0" applyFont="1" applyBorder="1"/>
    <xf numFmtId="0" fontId="19" fillId="7" borderId="8" xfId="0" applyFont="1" applyFill="1" applyBorder="1" applyAlignment="1">
      <alignment horizontal="left"/>
    </xf>
    <xf numFmtId="0" fontId="19" fillId="7" borderId="9" xfId="0" applyFont="1" applyFill="1" applyBorder="1" applyAlignment="1">
      <alignment horizontal="left"/>
    </xf>
    <xf numFmtId="0" fontId="19" fillId="7" borderId="6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0" fillId="9" borderId="0" xfId="0" applyFill="1"/>
    <xf numFmtId="2" fontId="6" fillId="0" borderId="0" xfId="0" applyNumberFormat="1" applyFont="1" applyFill="1"/>
    <xf numFmtId="0" fontId="6" fillId="0" borderId="0" xfId="0" applyFont="1" applyFill="1"/>
    <xf numFmtId="3" fontId="10" fillId="9" borderId="0" xfId="0" applyNumberFormat="1" applyFont="1" applyFill="1"/>
    <xf numFmtId="0" fontId="10" fillId="9" borderId="0" xfId="0" applyFont="1" applyFill="1"/>
    <xf numFmtId="0" fontId="1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165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165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0" fontId="3" fillId="0" borderId="12" xfId="0" applyFont="1" applyBorder="1"/>
    <xf numFmtId="165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3" fillId="0" borderId="11" xfId="0" applyFont="1" applyBorder="1"/>
    <xf numFmtId="0" fontId="3" fillId="0" borderId="0" xfId="0" applyFont="1" applyBorder="1"/>
    <xf numFmtId="165" fontId="3" fillId="0" borderId="13" xfId="0" applyNumberFormat="1" applyFont="1" applyFill="1" applyBorder="1"/>
    <xf numFmtId="165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0" applyNumberFormat="1" applyFont="1" applyFill="1" applyBorder="1" applyAlignment="1">
      <alignment horizontal="right"/>
    </xf>
    <xf numFmtId="0" fontId="2" fillId="0" borderId="3" xfId="0" applyFont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14" fontId="3" fillId="7" borderId="12" xfId="0" applyNumberFormat="1" applyFont="1" applyFill="1" applyBorder="1" applyAlignment="1">
      <alignment horizontal="center"/>
    </xf>
    <xf numFmtId="164" fontId="3" fillId="7" borderId="0" xfId="0" applyNumberFormat="1" applyFont="1" applyFill="1"/>
    <xf numFmtId="0" fontId="3" fillId="7" borderId="11" xfId="0" applyFont="1" applyFill="1" applyBorder="1" applyAlignment="1">
      <alignment horizontal="center"/>
    </xf>
    <xf numFmtId="0" fontId="3" fillId="7" borderId="11" xfId="0" applyFont="1" applyFill="1" applyBorder="1"/>
    <xf numFmtId="165" fontId="3" fillId="0" borderId="2" xfId="0" applyNumberFormat="1" applyFont="1" applyBorder="1"/>
    <xf numFmtId="165" fontId="3" fillId="0" borderId="0" xfId="0" applyNumberFormat="1" applyFont="1" applyBorder="1"/>
    <xf numFmtId="164" fontId="3" fillId="0" borderId="0" xfId="0" applyNumberFormat="1" applyFont="1" applyAlignment="1">
      <alignment horizontal="left"/>
    </xf>
    <xf numFmtId="14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3" fontId="3" fillId="0" borderId="3" xfId="0" applyNumberFormat="1" applyFont="1" applyFill="1" applyBorder="1"/>
    <xf numFmtId="8" fontId="3" fillId="0" borderId="0" xfId="0" applyNumberFormat="1" applyFont="1"/>
    <xf numFmtId="8" fontId="3" fillId="0" borderId="0" xfId="0" applyNumberFormat="1" applyFont="1" applyFill="1"/>
    <xf numFmtId="8" fontId="3" fillId="0" borderId="0" xfId="0" applyNumberFormat="1" applyFont="1" applyAlignment="1">
      <alignment horizontal="right"/>
    </xf>
    <xf numFmtId="4" fontId="3" fillId="0" borderId="0" xfId="0" applyNumberFormat="1" applyFont="1"/>
    <xf numFmtId="165" fontId="3" fillId="0" borderId="13" xfId="0" applyNumberFormat="1" applyFont="1" applyBorder="1"/>
    <xf numFmtId="0" fontId="3" fillId="7" borderId="0" xfId="0" applyFont="1" applyFill="1"/>
    <xf numFmtId="0" fontId="3" fillId="7" borderId="8" xfId="0" applyFont="1" applyFill="1" applyBorder="1"/>
    <xf numFmtId="165" fontId="3" fillId="0" borderId="3" xfId="0" applyNumberFormat="1" applyFont="1" applyFill="1" applyBorder="1"/>
    <xf numFmtId="165" fontId="3" fillId="0" borderId="12" xfId="0" applyNumberFormat="1" applyFont="1" applyFill="1" applyBorder="1"/>
    <xf numFmtId="0" fontId="3" fillId="0" borderId="12" xfId="0" applyFont="1" applyFill="1" applyBorder="1"/>
    <xf numFmtId="165" fontId="3" fillId="0" borderId="11" xfId="0" applyNumberFormat="1" applyFont="1" applyFill="1" applyBorder="1"/>
    <xf numFmtId="165" fontId="3" fillId="0" borderId="12" xfId="0" applyNumberFormat="1" applyFont="1" applyFill="1" applyBorder="1" applyAlignment="1">
      <alignment horizontal="right"/>
    </xf>
    <xf numFmtId="165" fontId="3" fillId="0" borderId="9" xfId="0" applyNumberFormat="1" applyFont="1" applyBorder="1"/>
    <xf numFmtId="164" fontId="3" fillId="0" borderId="2" xfId="0" applyNumberFormat="1" applyFont="1" applyBorder="1"/>
    <xf numFmtId="8" fontId="3" fillId="0" borderId="2" xfId="0" applyNumberFormat="1" applyFont="1" applyBorder="1"/>
    <xf numFmtId="14" fontId="3" fillId="7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/>
    <xf numFmtId="2" fontId="3" fillId="0" borderId="13" xfId="0" applyNumberFormat="1" applyFont="1" applyFill="1" applyBorder="1"/>
    <xf numFmtId="2" fontId="3" fillId="0" borderId="13" xfId="0" applyNumberFormat="1" applyFont="1" applyBorder="1"/>
    <xf numFmtId="2" fontId="3" fillId="0" borderId="12" xfId="0" applyNumberFormat="1" applyFont="1" applyBorder="1"/>
    <xf numFmtId="0" fontId="3" fillId="0" borderId="7" xfId="0" applyFont="1" applyFill="1" applyBorder="1"/>
    <xf numFmtId="164" fontId="3" fillId="0" borderId="21" xfId="0" applyNumberFormat="1" applyFont="1" applyFill="1" applyBorder="1"/>
    <xf numFmtId="8" fontId="3" fillId="0" borderId="21" xfId="0" applyNumberFormat="1" applyFont="1" applyFill="1" applyBorder="1"/>
    <xf numFmtId="0" fontId="2" fillId="0" borderId="0" xfId="0" applyFont="1" applyFill="1"/>
    <xf numFmtId="164" fontId="3" fillId="0" borderId="25" xfId="0" applyNumberFormat="1" applyFont="1" applyFill="1" applyBorder="1"/>
    <xf numFmtId="8" fontId="3" fillId="0" borderId="25" xfId="0" applyNumberFormat="1" applyFont="1" applyFill="1" applyBorder="1"/>
    <xf numFmtId="0" fontId="3" fillId="7" borderId="7" xfId="0" applyFont="1" applyFill="1" applyBorder="1" applyAlignment="1">
      <alignment horizontal="center"/>
    </xf>
    <xf numFmtId="165" fontId="3" fillId="0" borderId="0" xfId="0" applyNumberFormat="1" applyFont="1" applyFill="1" applyBorder="1"/>
    <xf numFmtId="8" fontId="3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applyFont="1" applyBorder="1"/>
    <xf numFmtId="165" fontId="3" fillId="0" borderId="0" xfId="0" applyNumberFormat="1" applyFont="1" applyAlignment="1"/>
    <xf numFmtId="0" fontId="3" fillId="0" borderId="15" xfId="0" applyFont="1" applyBorder="1"/>
    <xf numFmtId="2" fontId="3" fillId="0" borderId="16" xfId="0" applyNumberFormat="1" applyFont="1" applyBorder="1"/>
    <xf numFmtId="165" fontId="3" fillId="0" borderId="12" xfId="0" applyNumberFormat="1" applyFont="1" applyBorder="1" applyAlignment="1"/>
    <xf numFmtId="0" fontId="2" fillId="0" borderId="1" xfId="0" applyFont="1" applyBorder="1"/>
    <xf numFmtId="0" fontId="3" fillId="7" borderId="12" xfId="0" applyFont="1" applyFill="1" applyBorder="1" applyAlignment="1">
      <alignment horizontal="center"/>
    </xf>
    <xf numFmtId="165" fontId="3" fillId="0" borderId="3" xfId="0" applyNumberFormat="1" applyFont="1" applyBorder="1" applyAlignment="1"/>
    <xf numFmtId="2" fontId="3" fillId="0" borderId="3" xfId="0" applyNumberFormat="1" applyFont="1" applyBorder="1"/>
    <xf numFmtId="8" fontId="3" fillId="0" borderId="0" xfId="0" applyNumberFormat="1" applyFont="1" applyBorder="1"/>
    <xf numFmtId="0" fontId="2" fillId="2" borderId="0" xfId="0" applyFont="1" applyFill="1"/>
    <xf numFmtId="0" fontId="3" fillId="7" borderId="0" xfId="0" applyFont="1" applyFill="1" applyAlignment="1">
      <alignment horizontal="right"/>
    </xf>
    <xf numFmtId="0" fontId="3" fillId="7" borderId="7" xfId="0" applyFont="1" applyFill="1" applyBorder="1" applyAlignment="1"/>
    <xf numFmtId="2" fontId="3" fillId="0" borderId="12" xfId="0" applyNumberFormat="1" applyFont="1" applyBorder="1" applyAlignment="1">
      <alignment horizontal="right"/>
    </xf>
    <xf numFmtId="0" fontId="2" fillId="5" borderId="0" xfId="0" applyFont="1" applyFill="1"/>
    <xf numFmtId="8" fontId="3" fillId="0" borderId="0" xfId="0" applyNumberFormat="1" applyFont="1" applyFill="1" applyAlignment="1">
      <alignment horizontal="right"/>
    </xf>
    <xf numFmtId="0" fontId="2" fillId="8" borderId="0" xfId="0" applyFont="1" applyFill="1" applyBorder="1"/>
    <xf numFmtId="165" fontId="3" fillId="7" borderId="12" xfId="0" applyNumberFormat="1" applyFont="1" applyFill="1" applyBorder="1" applyAlignment="1">
      <alignment horizontal="center"/>
    </xf>
    <xf numFmtId="165" fontId="3" fillId="7" borderId="11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7" borderId="2" xfId="0" applyFont="1" applyFill="1" applyBorder="1"/>
    <xf numFmtId="0" fontId="2" fillId="7" borderId="9" xfId="0" applyFont="1" applyFill="1" applyBorder="1"/>
    <xf numFmtId="0" fontId="2" fillId="7" borderId="1" xfId="0" applyFont="1" applyFill="1" applyBorder="1"/>
    <xf numFmtId="0" fontId="2" fillId="7" borderId="7" xfId="0" applyFont="1" applyFill="1" applyBorder="1"/>
    <xf numFmtId="0" fontId="2" fillId="7" borderId="6" xfId="0" applyFont="1" applyFill="1" applyBorder="1"/>
    <xf numFmtId="165" fontId="2" fillId="0" borderId="0" xfId="0" applyNumberFormat="1" applyFont="1" applyFill="1"/>
    <xf numFmtId="164" fontId="3" fillId="0" borderId="12" xfId="0" applyNumberFormat="1" applyFont="1" applyBorder="1"/>
    <xf numFmtId="165" fontId="3" fillId="0" borderId="10" xfId="0" applyNumberFormat="1" applyFont="1" applyBorder="1"/>
    <xf numFmtId="164" fontId="3" fillId="0" borderId="0" xfId="0" applyNumberFormat="1" applyFont="1" applyFill="1" applyAlignment="1"/>
    <xf numFmtId="49" fontId="3" fillId="0" borderId="0" xfId="0" applyNumberFormat="1" applyFont="1"/>
    <xf numFmtId="1" fontId="3" fillId="0" borderId="0" xfId="0" applyNumberFormat="1" applyFont="1"/>
    <xf numFmtId="4" fontId="3" fillId="0" borderId="0" xfId="0" applyNumberFormat="1" applyFont="1" applyFill="1"/>
    <xf numFmtId="165" fontId="3" fillId="0" borderId="20" xfId="0" applyNumberFormat="1" applyFont="1" applyFill="1" applyBorder="1"/>
    <xf numFmtId="164" fontId="3" fillId="0" borderId="1" xfId="0" applyNumberFormat="1" applyFont="1" applyBorder="1"/>
    <xf numFmtId="8" fontId="3" fillId="0" borderId="1" xfId="0" applyNumberFormat="1" applyFont="1" applyBorder="1"/>
    <xf numFmtId="2" fontId="3" fillId="0" borderId="16" xfId="0" applyNumberFormat="1" applyFont="1" applyFill="1" applyBorder="1"/>
    <xf numFmtId="0" fontId="3" fillId="0" borderId="10" xfId="0" applyFont="1" applyFill="1" applyBorder="1"/>
    <xf numFmtId="165" fontId="3" fillId="0" borderId="16" xfId="0" applyNumberFormat="1" applyFont="1" applyBorder="1"/>
    <xf numFmtId="165" fontId="3" fillId="0" borderId="8" xfId="0" applyNumberFormat="1" applyFont="1" applyBorder="1"/>
    <xf numFmtId="165" fontId="19" fillId="0" borderId="3" xfId="0" applyNumberFormat="1" applyFont="1" applyFill="1" applyBorder="1"/>
    <xf numFmtId="8" fontId="3" fillId="0" borderId="4" xfId="0" applyNumberFormat="1" applyFont="1" applyBorder="1"/>
    <xf numFmtId="164" fontId="3" fillId="0" borderId="4" xfId="0" applyNumberFormat="1" applyFont="1" applyBorder="1"/>
    <xf numFmtId="165" fontId="3" fillId="0" borderId="15" xfId="0" applyNumberFormat="1" applyFont="1" applyFill="1" applyBorder="1"/>
    <xf numFmtId="165" fontId="3" fillId="0" borderId="15" xfId="0" applyNumberFormat="1" applyFont="1" applyBorder="1"/>
    <xf numFmtId="8" fontId="3" fillId="0" borderId="4" xfId="0" applyNumberFormat="1" applyFont="1" applyBorder="1" applyAlignment="1">
      <alignment horizontal="right"/>
    </xf>
    <xf numFmtId="0" fontId="19" fillId="0" borderId="18" xfId="0" applyFont="1" applyBorder="1"/>
    <xf numFmtId="0" fontId="19" fillId="0" borderId="6" xfId="0" applyFont="1" applyBorder="1"/>
    <xf numFmtId="165" fontId="19" fillId="0" borderId="7" xfId="0" applyNumberFormat="1" applyFont="1" applyBorder="1"/>
    <xf numFmtId="165" fontId="3" fillId="0" borderId="15" xfId="0" applyNumberFormat="1" applyFont="1" applyBorder="1" applyAlignment="1"/>
    <xf numFmtId="2" fontId="19" fillId="0" borderId="18" xfId="0" applyNumberFormat="1" applyFont="1" applyBorder="1"/>
    <xf numFmtId="165" fontId="19" fillId="0" borderId="17" xfId="0" applyNumberFormat="1" applyFont="1" applyBorder="1"/>
    <xf numFmtId="2" fontId="19" fillId="0" borderId="6" xfId="0" applyNumberFormat="1" applyFont="1" applyBorder="1"/>
    <xf numFmtId="0" fontId="19" fillId="0" borderId="11" xfId="0" applyFont="1" applyBorder="1"/>
    <xf numFmtId="8" fontId="19" fillId="0" borderId="1" xfId="0" applyNumberFormat="1" applyFont="1" applyBorder="1"/>
    <xf numFmtId="164" fontId="19" fillId="0" borderId="1" xfId="0" applyNumberFormat="1" applyFont="1" applyBorder="1"/>
    <xf numFmtId="165" fontId="19" fillId="0" borderId="11" xfId="0" applyNumberFormat="1" applyFont="1" applyBorder="1"/>
    <xf numFmtId="0" fontId="19" fillId="0" borderId="19" xfId="0" applyFont="1" applyBorder="1"/>
    <xf numFmtId="8" fontId="19" fillId="0" borderId="21" xfId="0" applyNumberFormat="1" applyFont="1" applyBorder="1"/>
    <xf numFmtId="165" fontId="19" fillId="0" borderId="20" xfId="0" applyNumberFormat="1" applyFont="1" applyFill="1" applyBorder="1"/>
    <xf numFmtId="0" fontId="19" fillId="0" borderId="7" xfId="0" applyFont="1" applyBorder="1"/>
    <xf numFmtId="165" fontId="19" fillId="0" borderId="13" xfId="0" applyNumberFormat="1" applyFont="1" applyFill="1" applyBorder="1"/>
    <xf numFmtId="8" fontId="3" fillId="0" borderId="4" xfId="0" applyNumberFormat="1" applyFont="1" applyFill="1" applyBorder="1"/>
    <xf numFmtId="164" fontId="3" fillId="0" borderId="4" xfId="0" applyNumberFormat="1" applyFont="1" applyFill="1" applyBorder="1"/>
    <xf numFmtId="165" fontId="19" fillId="0" borderId="22" xfId="0" applyNumberFormat="1" applyFont="1" applyBorder="1"/>
    <xf numFmtId="165" fontId="19" fillId="0" borderId="10" xfId="0" applyNumberFormat="1" applyFont="1" applyBorder="1"/>
    <xf numFmtId="165" fontId="19" fillId="0" borderId="13" xfId="0" applyNumberFormat="1" applyFont="1" applyBorder="1"/>
    <xf numFmtId="2" fontId="3" fillId="0" borderId="3" xfId="0" applyNumberFormat="1" applyFont="1" applyFill="1" applyBorder="1"/>
    <xf numFmtId="0" fontId="3" fillId="0" borderId="3" xfId="0" applyFont="1" applyFill="1" applyBorder="1"/>
    <xf numFmtId="4" fontId="3" fillId="0" borderId="4" xfId="0" applyNumberFormat="1" applyFont="1" applyBorder="1"/>
    <xf numFmtId="165" fontId="19" fillId="0" borderId="11" xfId="0" applyNumberFormat="1" applyFont="1" applyFill="1" applyBorder="1"/>
    <xf numFmtId="165" fontId="19" fillId="0" borderId="6" xfId="0" applyNumberFormat="1" applyFont="1" applyFill="1" applyBorder="1"/>
    <xf numFmtId="2" fontId="19" fillId="0" borderId="6" xfId="0" applyNumberFormat="1" applyFont="1" applyFill="1" applyBorder="1"/>
    <xf numFmtId="0" fontId="19" fillId="0" borderId="7" xfId="0" applyFont="1" applyFill="1" applyBorder="1"/>
    <xf numFmtId="4" fontId="19" fillId="0" borderId="0" xfId="0" applyNumberFormat="1" applyFont="1" applyFill="1" applyBorder="1"/>
    <xf numFmtId="4" fontId="19" fillId="0" borderId="21" xfId="0" applyNumberFormat="1" applyFont="1" applyBorder="1"/>
    <xf numFmtId="165" fontId="19" fillId="0" borderId="18" xfId="0" applyNumberFormat="1" applyFont="1" applyBorder="1"/>
    <xf numFmtId="2" fontId="3" fillId="0" borderId="3" xfId="0" applyNumberFormat="1" applyFont="1" applyFill="1" applyBorder="1" applyAlignment="1">
      <alignment horizontal="right"/>
    </xf>
    <xf numFmtId="8" fontId="3" fillId="0" borderId="3" xfId="0" applyNumberFormat="1" applyFont="1" applyFill="1" applyBorder="1"/>
    <xf numFmtId="164" fontId="3" fillId="0" borderId="3" xfId="0" applyNumberFormat="1" applyFont="1" applyFill="1" applyBorder="1"/>
    <xf numFmtId="165" fontId="3" fillId="0" borderId="3" xfId="0" quotePrefix="1" applyNumberFormat="1" applyFont="1" applyFill="1" applyBorder="1"/>
    <xf numFmtId="8" fontId="3" fillId="0" borderId="3" xfId="0" applyNumberFormat="1" applyFont="1" applyFill="1" applyBorder="1" applyAlignment="1">
      <alignment horizontal="right"/>
    </xf>
    <xf numFmtId="165" fontId="3" fillId="0" borderId="3" xfId="1" applyNumberFormat="1" applyFont="1" applyFill="1" applyBorder="1"/>
    <xf numFmtId="8" fontId="19" fillId="0" borderId="0" xfId="0" applyNumberFormat="1" applyFont="1" applyFill="1" applyBorder="1" applyAlignment="1">
      <alignment horizontal="right"/>
    </xf>
    <xf numFmtId="8" fontId="19" fillId="0" borderId="1" xfId="0" applyNumberFormat="1" applyFont="1" applyFill="1" applyBorder="1"/>
    <xf numFmtId="8" fontId="19" fillId="0" borderId="1" xfId="0" applyNumberFormat="1" applyFont="1" applyFill="1" applyBorder="1" applyAlignment="1">
      <alignment horizontal="right"/>
    </xf>
    <xf numFmtId="165" fontId="19" fillId="0" borderId="7" xfId="0" applyNumberFormat="1" applyFont="1" applyFill="1" applyBorder="1"/>
    <xf numFmtId="0" fontId="3" fillId="0" borderId="4" xfId="0" applyFont="1" applyFill="1" applyBorder="1"/>
    <xf numFmtId="2" fontId="19" fillId="0" borderId="14" xfId="0" applyNumberFormat="1" applyFont="1" applyFill="1" applyBorder="1"/>
    <xf numFmtId="0" fontId="19" fillId="0" borderId="4" xfId="0" applyFont="1" applyFill="1" applyBorder="1"/>
    <xf numFmtId="8" fontId="19" fillId="0" borderId="4" xfId="0" applyNumberFormat="1" applyFont="1" applyFill="1" applyBorder="1"/>
    <xf numFmtId="164" fontId="19" fillId="0" borderId="4" xfId="0" applyNumberFormat="1" applyFont="1" applyFill="1" applyBorder="1"/>
    <xf numFmtId="165" fontId="3" fillId="0" borderId="3" xfId="0" applyNumberFormat="1" applyFont="1" applyFill="1" applyBorder="1" applyAlignment="1"/>
    <xf numFmtId="0" fontId="19" fillId="0" borderId="22" xfId="0" applyFont="1" applyFill="1" applyBorder="1"/>
    <xf numFmtId="164" fontId="3" fillId="0" borderId="3" xfId="0" applyNumberFormat="1" applyFont="1" applyFill="1" applyBorder="1" applyAlignment="1">
      <alignment horizontal="right"/>
    </xf>
    <xf numFmtId="164" fontId="19" fillId="0" borderId="3" xfId="0" applyNumberFormat="1" applyFont="1" applyFill="1" applyBorder="1"/>
    <xf numFmtId="164" fontId="3" fillId="0" borderId="3" xfId="0" applyNumberFormat="1" applyFont="1" applyBorder="1"/>
    <xf numFmtId="165" fontId="3" fillId="4" borderId="3" xfId="0" applyNumberFormat="1" applyFont="1" applyFill="1" applyBorder="1"/>
    <xf numFmtId="164" fontId="19" fillId="0" borderId="3" xfId="0" applyNumberFormat="1" applyFont="1" applyBorder="1"/>
    <xf numFmtId="165" fontId="19" fillId="0" borderId="24" xfId="0" applyNumberFormat="1" applyFont="1" applyFill="1" applyBorder="1" applyAlignment="1"/>
    <xf numFmtId="164" fontId="3" fillId="0" borderId="3" xfId="0" applyNumberFormat="1" applyFont="1" applyBorder="1" applyAlignment="1">
      <alignment horizontal="right"/>
    </xf>
    <xf numFmtId="8" fontId="3" fillId="0" borderId="3" xfId="0" applyNumberFormat="1" applyFont="1" applyBorder="1"/>
    <xf numFmtId="8" fontId="3" fillId="0" borderId="3" xfId="0" applyNumberFormat="1" applyFont="1" applyBorder="1" applyAlignment="1">
      <alignment horizontal="right"/>
    </xf>
    <xf numFmtId="164" fontId="3" fillId="0" borderId="10" xfId="0" applyNumberFormat="1" applyFont="1" applyFill="1" applyBorder="1"/>
    <xf numFmtId="165" fontId="19" fillId="0" borderId="24" xfId="0" applyNumberFormat="1" applyFont="1" applyBorder="1"/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0" fontId="3" fillId="7" borderId="13" xfId="0" applyFont="1" applyFill="1" applyBorder="1" applyAlignment="1">
      <alignment horizontal="center"/>
    </xf>
    <xf numFmtId="0" fontId="19" fillId="7" borderId="13" xfId="0" applyFont="1" applyFill="1" applyBorder="1"/>
    <xf numFmtId="0" fontId="19" fillId="0" borderId="3" xfId="0" applyFont="1" applyFill="1" applyBorder="1"/>
    <xf numFmtId="8" fontId="19" fillId="0" borderId="3" xfId="0" applyNumberFormat="1" applyFont="1" applyFill="1" applyBorder="1"/>
    <xf numFmtId="164" fontId="19" fillId="0" borderId="3" xfId="0" applyNumberFormat="1" applyFont="1" applyFill="1" applyBorder="1" applyAlignment="1"/>
    <xf numFmtId="165" fontId="19" fillId="0" borderId="3" xfId="0" applyNumberFormat="1" applyFont="1" applyFill="1" applyBorder="1" applyAlignment="1"/>
    <xf numFmtId="164" fontId="19" fillId="0" borderId="3" xfId="0" applyNumberFormat="1" applyFont="1" applyFill="1" applyBorder="1" applyAlignment="1">
      <alignment horizontal="right"/>
    </xf>
    <xf numFmtId="165" fontId="19" fillId="0" borderId="3" xfId="0" applyNumberFormat="1" applyFont="1" applyFill="1" applyBorder="1" applyAlignment="1">
      <alignment horizontal="right"/>
    </xf>
    <xf numFmtId="0" fontId="19" fillId="7" borderId="16" xfId="0" applyFont="1" applyFill="1" applyBorder="1"/>
    <xf numFmtId="0" fontId="3" fillId="7" borderId="0" xfId="0" applyFont="1" applyFill="1" applyBorder="1"/>
    <xf numFmtId="164" fontId="19" fillId="7" borderId="0" xfId="0" applyNumberFormat="1" applyFont="1" applyFill="1" applyBorder="1" applyAlignment="1"/>
    <xf numFmtId="164" fontId="19" fillId="7" borderId="0" xfId="0" applyNumberFormat="1" applyFont="1" applyFill="1" applyBorder="1"/>
    <xf numFmtId="0" fontId="3" fillId="4" borderId="3" xfId="0" applyFont="1" applyFill="1" applyBorder="1"/>
    <xf numFmtId="164" fontId="19" fillId="4" borderId="3" xfId="0" applyNumberFormat="1" applyFont="1" applyFill="1" applyBorder="1" applyAlignment="1"/>
    <xf numFmtId="164" fontId="19" fillId="4" borderId="3" xfId="0" applyNumberFormat="1" applyFont="1" applyFill="1" applyBorder="1"/>
    <xf numFmtId="164" fontId="3" fillId="4" borderId="3" xfId="0" applyNumberFormat="1" applyFont="1" applyFill="1" applyBorder="1"/>
    <xf numFmtId="164" fontId="19" fillId="0" borderId="21" xfId="0" applyNumberFormat="1" applyFont="1" applyBorder="1" applyAlignment="1"/>
    <xf numFmtId="165" fontId="19" fillId="0" borderId="32" xfId="0" applyNumberFormat="1" applyFont="1" applyBorder="1" applyAlignment="1"/>
    <xf numFmtId="164" fontId="3" fillId="0" borderId="3" xfId="0" applyNumberFormat="1" applyFont="1" applyBorder="1" applyAlignment="1"/>
    <xf numFmtId="165" fontId="2" fillId="0" borderId="3" xfId="0" applyNumberFormat="1" applyFont="1" applyFill="1" applyBorder="1"/>
    <xf numFmtId="7" fontId="3" fillId="0" borderId="3" xfId="0" applyNumberFormat="1" applyFont="1" applyBorder="1"/>
    <xf numFmtId="165" fontId="19" fillId="7" borderId="13" xfId="0" applyNumberFormat="1" applyFont="1" applyFill="1" applyBorder="1" applyAlignment="1">
      <alignment horizontal="center"/>
    </xf>
    <xf numFmtId="14" fontId="19" fillId="7" borderId="13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/>
    <xf numFmtId="0" fontId="12" fillId="0" borderId="0" xfId="0" applyFont="1" applyFill="1" applyBorder="1"/>
    <xf numFmtId="165" fontId="13" fillId="0" borderId="0" xfId="0" applyNumberFormat="1" applyFont="1" applyFill="1" applyBorder="1"/>
    <xf numFmtId="0" fontId="0" fillId="0" borderId="0" xfId="0" applyFill="1" applyBorder="1"/>
    <xf numFmtId="165" fontId="12" fillId="0" borderId="0" xfId="0" applyNumberFormat="1" applyFont="1" applyFill="1" applyBorder="1"/>
    <xf numFmtId="0" fontId="3" fillId="0" borderId="0" xfId="0" applyFont="1" applyFill="1" applyBorder="1"/>
    <xf numFmtId="0" fontId="24" fillId="0" borderId="3" xfId="0" applyFont="1" applyBorder="1"/>
    <xf numFmtId="0" fontId="23" fillId="7" borderId="16" xfId="0" applyFont="1" applyFill="1" applyBorder="1" applyAlignment="1">
      <alignment horizontal="left"/>
    </xf>
    <xf numFmtId="0" fontId="19" fillId="7" borderId="10" xfId="0" applyFont="1" applyFill="1" applyBorder="1" applyAlignment="1">
      <alignment horizontal="center"/>
    </xf>
    <xf numFmtId="2" fontId="3" fillId="0" borderId="6" xfId="0" applyNumberFormat="1" applyFont="1" applyFill="1" applyBorder="1"/>
    <xf numFmtId="7" fontId="3" fillId="0" borderId="3" xfId="0" applyNumberFormat="1" applyFont="1" applyFill="1" applyBorder="1"/>
    <xf numFmtId="165" fontId="3" fillId="0" borderId="14" xfId="0" applyNumberFormat="1" applyFont="1" applyFill="1" applyBorder="1"/>
    <xf numFmtId="165" fontId="19" fillId="0" borderId="24" xfId="0" applyNumberFormat="1" applyFont="1" applyFill="1" applyBorder="1"/>
    <xf numFmtId="0" fontId="19" fillId="7" borderId="16" xfId="0" applyFont="1" applyFill="1" applyBorder="1" applyAlignment="1">
      <alignment horizontal="left"/>
    </xf>
    <xf numFmtId="0" fontId="19" fillId="7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164" fontId="3" fillId="0" borderId="4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2" fontId="19" fillId="0" borderId="14" xfId="0" applyNumberFormat="1" applyFont="1" applyBorder="1"/>
    <xf numFmtId="8" fontId="19" fillId="0" borderId="4" xfId="0" applyNumberFormat="1" applyFont="1" applyBorder="1"/>
    <xf numFmtId="164" fontId="19" fillId="0" borderId="4" xfId="0" applyNumberFormat="1" applyFont="1" applyBorder="1"/>
    <xf numFmtId="0" fontId="19" fillId="0" borderId="15" xfId="0" applyFont="1" applyFill="1" applyBorder="1"/>
    <xf numFmtId="4" fontId="19" fillId="0" borderId="4" xfId="0" applyNumberFormat="1" applyFont="1" applyFill="1" applyBorder="1"/>
    <xf numFmtId="164" fontId="19" fillId="0" borderId="16" xfId="0" applyNumberFormat="1" applyFont="1" applyFill="1" applyBorder="1"/>
    <xf numFmtId="164" fontId="19" fillId="0" borderId="16" xfId="0" applyNumberFormat="1" applyFont="1" applyBorder="1"/>
    <xf numFmtId="164" fontId="19" fillId="0" borderId="10" xfId="0" applyNumberFormat="1" applyFont="1" applyBorder="1"/>
    <xf numFmtId="165" fontId="19" fillId="0" borderId="20" xfId="0" applyNumberFormat="1" applyFont="1" applyBorder="1"/>
    <xf numFmtId="2" fontId="19" fillId="0" borderId="16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19" fillId="0" borderId="16" xfId="0" applyNumberFormat="1" applyFont="1" applyBorder="1"/>
    <xf numFmtId="2" fontId="19" fillId="0" borderId="6" xfId="0" applyNumberFormat="1" applyFont="1" applyBorder="1" applyAlignment="1">
      <alignment horizontal="left"/>
    </xf>
    <xf numFmtId="165" fontId="19" fillId="0" borderId="27" xfId="0" applyNumberFormat="1" applyFont="1" applyFill="1" applyBorder="1"/>
    <xf numFmtId="0" fontId="19" fillId="0" borderId="6" xfId="0" applyFont="1" applyBorder="1" applyAlignment="1">
      <alignment horizontal="left"/>
    </xf>
    <xf numFmtId="0" fontId="19" fillId="0" borderId="0" xfId="0" applyFont="1" applyAlignment="1">
      <alignment horizontal="right"/>
    </xf>
    <xf numFmtId="165" fontId="19" fillId="0" borderId="16" xfId="0" applyNumberFormat="1" applyFont="1" applyFill="1" applyBorder="1"/>
    <xf numFmtId="2" fontId="19" fillId="0" borderId="16" xfId="0" applyNumberFormat="1" applyFont="1" applyFill="1" applyBorder="1"/>
    <xf numFmtId="0" fontId="19" fillId="0" borderId="10" xfId="0" applyFont="1" applyFill="1" applyBorder="1"/>
    <xf numFmtId="165" fontId="19" fillId="0" borderId="10" xfId="0" applyNumberFormat="1" applyFont="1" applyFill="1" applyBorder="1"/>
    <xf numFmtId="165" fontId="3" fillId="7" borderId="13" xfId="0" applyNumberFormat="1" applyFont="1" applyFill="1" applyBorder="1" applyAlignment="1">
      <alignment horizontal="center"/>
    </xf>
    <xf numFmtId="165" fontId="19" fillId="7" borderId="13" xfId="0" applyNumberFormat="1" applyFont="1" applyFill="1" applyBorder="1"/>
    <xf numFmtId="164" fontId="19" fillId="0" borderId="25" xfId="0" applyNumberFormat="1" applyFont="1" applyBorder="1" applyAlignment="1"/>
    <xf numFmtId="165" fontId="19" fillId="0" borderId="23" xfId="0" applyNumberFormat="1" applyFont="1" applyBorder="1" applyAlignment="1"/>
    <xf numFmtId="165" fontId="19" fillId="0" borderId="24" xfId="0" applyNumberFormat="1" applyFont="1" applyBorder="1" applyAlignment="1"/>
    <xf numFmtId="2" fontId="19" fillId="0" borderId="16" xfId="0" applyNumberFormat="1" applyFont="1" applyBorder="1"/>
    <xf numFmtId="0" fontId="19" fillId="0" borderId="10" xfId="0" applyFont="1" applyBorder="1"/>
    <xf numFmtId="2" fontId="19" fillId="0" borderId="27" xfId="0" applyNumberFormat="1" applyFont="1" applyBorder="1"/>
    <xf numFmtId="0" fontId="19" fillId="0" borderId="22" xfId="0" applyFont="1" applyBorder="1"/>
    <xf numFmtId="2" fontId="19" fillId="0" borderId="3" xfId="0" applyNumberFormat="1" applyFont="1" applyBorder="1"/>
    <xf numFmtId="0" fontId="19" fillId="0" borderId="3" xfId="0" applyFont="1" applyBorder="1"/>
    <xf numFmtId="8" fontId="19" fillId="0" borderId="3" xfId="0" applyNumberFormat="1" applyFont="1" applyBorder="1"/>
    <xf numFmtId="8" fontId="3" fillId="0" borderId="12" xfId="0" applyNumberFormat="1" applyFont="1" applyBorder="1"/>
    <xf numFmtId="0" fontId="19" fillId="0" borderId="16" xfId="0" applyFont="1" applyFill="1" applyBorder="1"/>
    <xf numFmtId="2" fontId="19" fillId="0" borderId="3" xfId="0" applyNumberFormat="1" applyFont="1" applyFill="1" applyBorder="1"/>
    <xf numFmtId="164" fontId="19" fillId="0" borderId="10" xfId="0" applyNumberFormat="1" applyFont="1" applyFill="1" applyBorder="1"/>
    <xf numFmtId="0" fontId="6" fillId="0" borderId="0" xfId="0" applyFont="1" applyAlignment="1">
      <alignment horizontal="left"/>
    </xf>
    <xf numFmtId="0" fontId="19" fillId="0" borderId="27" xfId="0" applyFont="1" applyFill="1" applyBorder="1"/>
    <xf numFmtId="164" fontId="19" fillId="0" borderId="14" xfId="0" applyNumberFormat="1" applyFont="1" applyBorder="1"/>
    <xf numFmtId="164" fontId="19" fillId="0" borderId="15" xfId="0" applyNumberFormat="1" applyFont="1" applyBorder="1"/>
    <xf numFmtId="0" fontId="12" fillId="0" borderId="0" xfId="0" applyNumberFormat="1" applyFont="1" applyFill="1"/>
    <xf numFmtId="165" fontId="10" fillId="0" borderId="0" xfId="0" applyNumberFormat="1" applyFont="1" applyFill="1"/>
    <xf numFmtId="2" fontId="19" fillId="0" borderId="14" xfId="0" applyNumberFormat="1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4" xfId="0" applyFont="1" applyBorder="1" applyAlignment="1">
      <alignment horizontal="right"/>
    </xf>
    <xf numFmtId="164" fontId="19" fillId="0" borderId="4" xfId="0" applyNumberFormat="1" applyFont="1" applyBorder="1" applyAlignment="1">
      <alignment horizontal="right"/>
    </xf>
    <xf numFmtId="165" fontId="19" fillId="0" borderId="3" xfId="0" applyNumberFormat="1" applyFont="1" applyBorder="1" applyAlignment="1">
      <alignment horizontal="right"/>
    </xf>
    <xf numFmtId="164" fontId="19" fillId="0" borderId="30" xfId="0" applyNumberFormat="1" applyFont="1" applyBorder="1"/>
    <xf numFmtId="0" fontId="19" fillId="7" borderId="13" xfId="0" applyFont="1" applyFill="1" applyBorder="1" applyAlignment="1">
      <alignment horizontal="left"/>
    </xf>
    <xf numFmtId="7" fontId="19" fillId="0" borderId="25" xfId="0" applyNumberFormat="1" applyFont="1" applyBorder="1"/>
    <xf numFmtId="0" fontId="3" fillId="0" borderId="10" xfId="0" applyFont="1" applyBorder="1" applyAlignment="1">
      <alignment horizontal="left"/>
    </xf>
    <xf numFmtId="165" fontId="3" fillId="0" borderId="23" xfId="0" applyNumberFormat="1" applyFont="1" applyBorder="1"/>
    <xf numFmtId="14" fontId="19" fillId="7" borderId="12" xfId="0" applyNumberFormat="1" applyFont="1" applyFill="1" applyBorder="1" applyAlignment="1">
      <alignment horizontal="center"/>
    </xf>
    <xf numFmtId="3" fontId="16" fillId="0" borderId="0" xfId="0" applyNumberFormat="1" applyFont="1"/>
    <xf numFmtId="0" fontId="7" fillId="0" borderId="0" xfId="0" applyFont="1"/>
    <xf numFmtId="0" fontId="11" fillId="0" borderId="0" xfId="0" applyFont="1"/>
    <xf numFmtId="164" fontId="0" fillId="0" borderId="0" xfId="0" applyNumberFormat="1"/>
    <xf numFmtId="164" fontId="10" fillId="0" borderId="0" xfId="0" applyNumberFormat="1" applyFont="1"/>
    <xf numFmtId="165" fontId="11" fillId="0" borderId="0" xfId="0" applyNumberFormat="1" applyFont="1"/>
    <xf numFmtId="3" fontId="28" fillId="0" borderId="0" xfId="0" applyNumberFormat="1" applyFont="1"/>
    <xf numFmtId="165" fontId="19" fillId="0" borderId="12" xfId="0" applyNumberFormat="1" applyFont="1" applyBorder="1"/>
    <xf numFmtId="2" fontId="19" fillId="0" borderId="3" xfId="0" applyNumberFormat="1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right"/>
    </xf>
    <xf numFmtId="164" fontId="19" fillId="0" borderId="3" xfId="0" applyNumberFormat="1" applyFont="1" applyBorder="1" applyAlignment="1">
      <alignment horizontal="right"/>
    </xf>
    <xf numFmtId="165" fontId="12" fillId="0" borderId="0" xfId="0" applyNumberFormat="1" applyFont="1" applyBorder="1"/>
    <xf numFmtId="2" fontId="3" fillId="0" borderId="16" xfId="0" applyNumberFormat="1" applyFont="1" applyBorder="1" applyAlignment="1">
      <alignment horizontal="right"/>
    </xf>
    <xf numFmtId="165" fontId="3" fillId="0" borderId="13" xfId="0" applyNumberFormat="1" applyFont="1" applyFill="1" applyBorder="1" applyAlignment="1"/>
    <xf numFmtId="2" fontId="19" fillId="0" borderId="11" xfId="0" applyNumberFormat="1" applyFont="1" applyFill="1" applyBorder="1"/>
    <xf numFmtId="0" fontId="19" fillId="0" borderId="11" xfId="0" applyFont="1" applyFill="1" applyBorder="1"/>
    <xf numFmtId="0" fontId="3" fillId="0" borderId="3" xfId="0" applyNumberFormat="1" applyFont="1" applyFill="1" applyBorder="1"/>
    <xf numFmtId="165" fontId="19" fillId="0" borderId="20" xfId="0" applyNumberFormat="1" applyFont="1" applyBorder="1" applyAlignment="1"/>
    <xf numFmtId="165" fontId="19" fillId="0" borderId="27" xfId="0" applyNumberFormat="1" applyFont="1" applyBorder="1"/>
    <xf numFmtId="165" fontId="19" fillId="0" borderId="17" xfId="0" applyNumberFormat="1" applyFont="1" applyBorder="1" applyAlignment="1"/>
    <xf numFmtId="0" fontId="19" fillId="0" borderId="21" xfId="0" applyFont="1" applyBorder="1"/>
    <xf numFmtId="165" fontId="19" fillId="0" borderId="21" xfId="0" applyNumberFormat="1" applyFont="1" applyBorder="1"/>
    <xf numFmtId="2" fontId="19" fillId="0" borderId="6" xfId="0" applyNumberFormat="1" applyFont="1" applyBorder="1" applyAlignment="1">
      <alignment horizontal="left" vertical="top"/>
    </xf>
    <xf numFmtId="2" fontId="19" fillId="0" borderId="16" xfId="0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164" fontId="19" fillId="0" borderId="1" xfId="0" applyNumberFormat="1" applyFont="1" applyBorder="1" applyAlignment="1"/>
    <xf numFmtId="165" fontId="19" fillId="0" borderId="6" xfId="0" applyNumberFormat="1" applyFont="1" applyBorder="1"/>
    <xf numFmtId="0" fontId="21" fillId="0" borderId="0" xfId="0" applyFont="1" applyFill="1"/>
    <xf numFmtId="2" fontId="19" fillId="0" borderId="12" xfId="0" applyNumberFormat="1" applyFont="1" applyBorder="1"/>
    <xf numFmtId="7" fontId="19" fillId="0" borderId="0" xfId="0" applyNumberFormat="1" applyFont="1" applyBorder="1"/>
    <xf numFmtId="2" fontId="19" fillId="0" borderId="8" xfId="0" applyNumberFormat="1" applyFont="1" applyBorder="1"/>
    <xf numFmtId="0" fontId="19" fillId="0" borderId="9" xfId="0" applyFont="1" applyBorder="1"/>
    <xf numFmtId="165" fontId="19" fillId="0" borderId="3" xfId="0" applyNumberFormat="1" applyFont="1" applyBorder="1" applyAlignment="1"/>
    <xf numFmtId="0" fontId="19" fillId="7" borderId="16" xfId="0" applyFont="1" applyFill="1" applyBorder="1" applyAlignment="1">
      <alignment horizontal="left"/>
    </xf>
    <xf numFmtId="0" fontId="19" fillId="7" borderId="10" xfId="0" applyFont="1" applyFill="1" applyBorder="1" applyAlignment="1">
      <alignment horizontal="left"/>
    </xf>
    <xf numFmtId="0" fontId="19" fillId="0" borderId="16" xfId="0" applyFont="1" applyBorder="1"/>
    <xf numFmtId="2" fontId="19" fillId="0" borderId="27" xfId="0" applyNumberFormat="1" applyFont="1" applyFill="1" applyBorder="1"/>
    <xf numFmtId="8" fontId="19" fillId="0" borderId="21" xfId="0" applyNumberFormat="1" applyFont="1" applyFill="1" applyBorder="1"/>
    <xf numFmtId="164" fontId="19" fillId="0" borderId="21" xfId="0" applyNumberFormat="1" applyFont="1" applyFill="1" applyBorder="1"/>
    <xf numFmtId="165" fontId="19" fillId="0" borderId="20" xfId="0" applyNumberFormat="1" applyFont="1" applyFill="1" applyBorder="1" applyAlignment="1">
      <alignment horizontal="right"/>
    </xf>
    <xf numFmtId="2" fontId="19" fillId="0" borderId="18" xfId="0" applyNumberFormat="1" applyFont="1" applyFill="1" applyBorder="1"/>
    <xf numFmtId="164" fontId="19" fillId="0" borderId="21" xfId="0" applyNumberFormat="1" applyFont="1" applyFill="1" applyBorder="1" applyAlignment="1">
      <alignment horizontal="right"/>
    </xf>
    <xf numFmtId="2" fontId="19" fillId="0" borderId="16" xfId="0" applyNumberFormat="1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/>
    <xf numFmtId="165" fontId="19" fillId="0" borderId="0" xfId="0" applyNumberFormat="1" applyFont="1" applyBorder="1"/>
    <xf numFmtId="0" fontId="19" fillId="0" borderId="0" xfId="0" applyFont="1" applyBorder="1"/>
    <xf numFmtId="165" fontId="19" fillId="0" borderId="0" xfId="0" applyNumberFormat="1" applyFont="1" applyFill="1" applyBorder="1" applyAlignment="1">
      <alignment horizontal="right"/>
    </xf>
    <xf numFmtId="0" fontId="19" fillId="0" borderId="21" xfId="0" applyFont="1" applyFill="1" applyBorder="1"/>
    <xf numFmtId="3" fontId="29" fillId="0" borderId="0" xfId="0" applyNumberFormat="1" applyFont="1"/>
    <xf numFmtId="3" fontId="30" fillId="0" borderId="0" xfId="0" applyNumberFormat="1" applyFont="1"/>
    <xf numFmtId="0" fontId="28" fillId="0" borderId="0" xfId="0" applyFont="1"/>
    <xf numFmtId="166" fontId="2" fillId="0" borderId="0" xfId="1" applyNumberFormat="1" applyFont="1"/>
    <xf numFmtId="166" fontId="3" fillId="0" borderId="0" xfId="1" applyNumberFormat="1" applyFont="1" applyAlignment="1">
      <alignment horizontal="right"/>
    </xf>
    <xf numFmtId="164" fontId="31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164" fontId="31" fillId="0" borderId="0" xfId="0" applyNumberFormat="1" applyFont="1"/>
    <xf numFmtId="43" fontId="2" fillId="0" borderId="0" xfId="2" applyFont="1"/>
    <xf numFmtId="2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9" fillId="0" borderId="24" xfId="0" applyFont="1" applyBorder="1" applyAlignment="1">
      <alignment horizontal="left"/>
    </xf>
    <xf numFmtId="165" fontId="0" fillId="0" borderId="0" xfId="0" applyNumberFormat="1" applyBorder="1"/>
    <xf numFmtId="8" fontId="3" fillId="0" borderId="15" xfId="0" applyNumberFormat="1" applyFont="1" applyFill="1" applyBorder="1"/>
    <xf numFmtId="2" fontId="3" fillId="0" borderId="11" xfId="0" applyNumberFormat="1" applyFont="1" applyBorder="1"/>
    <xf numFmtId="0" fontId="3" fillId="0" borderId="15" xfId="0" applyFont="1" applyFill="1" applyBorder="1"/>
    <xf numFmtId="4" fontId="3" fillId="0" borderId="4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center"/>
    </xf>
    <xf numFmtId="3" fontId="6" fillId="0" borderId="0" xfId="0" applyNumberFormat="1" applyFont="1" applyBorder="1"/>
    <xf numFmtId="0" fontId="3" fillId="0" borderId="11" xfId="0" applyFont="1" applyFill="1" applyBorder="1"/>
    <xf numFmtId="0" fontId="19" fillId="0" borderId="1" xfId="0" applyFont="1" applyFill="1" applyBorder="1"/>
    <xf numFmtId="164" fontId="3" fillId="0" borderId="1" xfId="0" applyNumberFormat="1" applyFont="1" applyFill="1" applyBorder="1"/>
    <xf numFmtId="7" fontId="3" fillId="0" borderId="0" xfId="0" applyNumberFormat="1" applyFont="1" applyFill="1"/>
    <xf numFmtId="165" fontId="19" fillId="0" borderId="32" xfId="0" applyNumberFormat="1" applyFont="1" applyBorder="1"/>
    <xf numFmtId="165" fontId="19" fillId="0" borderId="34" xfId="0" applyNumberFormat="1" applyFont="1" applyBorder="1"/>
    <xf numFmtId="0" fontId="3" fillId="7" borderId="16" xfId="0" applyFont="1" applyFill="1" applyBorder="1"/>
    <xf numFmtId="0" fontId="3" fillId="7" borderId="10" xfId="0" applyFont="1" applyFill="1" applyBorder="1"/>
    <xf numFmtId="165" fontId="2" fillId="0" borderId="3" xfId="0" applyNumberFormat="1" applyFont="1" applyBorder="1"/>
    <xf numFmtId="49" fontId="3" fillId="0" borderId="11" xfId="0" applyNumberFormat="1" applyFont="1" applyBorder="1" applyAlignment="1">
      <alignment horizontal="right"/>
    </xf>
    <xf numFmtId="0" fontId="19" fillId="0" borderId="24" xfId="0" applyFont="1" applyBorder="1"/>
    <xf numFmtId="0" fontId="19" fillId="0" borderId="23" xfId="0" applyFont="1" applyBorder="1"/>
    <xf numFmtId="0" fontId="2" fillId="0" borderId="26" xfId="0" applyFont="1" applyFill="1" applyBorder="1"/>
    <xf numFmtId="165" fontId="19" fillId="0" borderId="14" xfId="0" applyNumberFormat="1" applyFont="1" applyBorder="1"/>
    <xf numFmtId="164" fontId="19" fillId="0" borderId="3" xfId="0" applyNumberFormat="1" applyFont="1" applyFill="1" applyBorder="1" applyAlignment="1">
      <alignment horizontal="left"/>
    </xf>
    <xf numFmtId="165" fontId="3" fillId="0" borderId="23" xfId="0" applyNumberFormat="1" applyFont="1" applyFill="1" applyBorder="1"/>
    <xf numFmtId="164" fontId="3" fillId="0" borderId="11" xfId="0" applyNumberFormat="1" applyFont="1" applyFill="1" applyBorder="1"/>
    <xf numFmtId="164" fontId="3" fillId="0" borderId="24" xfId="0" applyNumberFormat="1" applyFont="1" applyFill="1" applyBorder="1"/>
    <xf numFmtId="165" fontId="3" fillId="0" borderId="26" xfId="0" applyNumberFormat="1" applyFont="1" applyFill="1" applyBorder="1"/>
    <xf numFmtId="165" fontId="3" fillId="0" borderId="11" xfId="0" applyNumberFormat="1" applyFont="1" applyFill="1" applyBorder="1" applyAlignment="1">
      <alignment horizontal="right"/>
    </xf>
    <xf numFmtId="165" fontId="19" fillId="0" borderId="23" xfId="0" applyNumberFormat="1" applyFont="1" applyFill="1" applyBorder="1" applyAlignment="1">
      <alignment horizontal="right"/>
    </xf>
    <xf numFmtId="0" fontId="31" fillId="0" borderId="3" xfId="0" applyFont="1" applyBorder="1"/>
    <xf numFmtId="165" fontId="19" fillId="0" borderId="3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1" xfId="0" applyNumberFormat="1" applyFont="1" applyBorder="1"/>
    <xf numFmtId="164" fontId="3" fillId="0" borderId="23" xfId="0" applyNumberFormat="1" applyFont="1" applyBorder="1"/>
    <xf numFmtId="165" fontId="3" fillId="0" borderId="14" xfId="0" applyNumberFormat="1" applyFont="1" applyBorder="1" applyAlignment="1">
      <alignment horizontal="right"/>
    </xf>
    <xf numFmtId="164" fontId="2" fillId="0" borderId="3" xfId="0" applyNumberFormat="1" applyFont="1" applyBorder="1"/>
    <xf numFmtId="0" fontId="2" fillId="0" borderId="26" xfId="0" applyFont="1" applyBorder="1"/>
    <xf numFmtId="165" fontId="3" fillId="0" borderId="14" xfId="0" applyNumberFormat="1" applyFont="1" applyBorder="1"/>
    <xf numFmtId="0" fontId="21" fillId="0" borderId="26" xfId="0" applyFont="1" applyBorder="1"/>
    <xf numFmtId="164" fontId="19" fillId="0" borderId="24" xfId="0" applyNumberFormat="1" applyFont="1" applyBorder="1"/>
    <xf numFmtId="0" fontId="3" fillId="0" borderId="11" xfId="0" applyFont="1" applyBorder="1" applyAlignment="1">
      <alignment horizontal="right"/>
    </xf>
    <xf numFmtId="165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left"/>
    </xf>
    <xf numFmtId="165" fontId="19" fillId="0" borderId="14" xfId="0" applyNumberFormat="1" applyFont="1" applyBorder="1" applyAlignment="1">
      <alignment horizontal="right"/>
    </xf>
    <xf numFmtId="165" fontId="19" fillId="0" borderId="2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2" fontId="19" fillId="0" borderId="24" xfId="0" applyNumberFormat="1" applyFont="1" applyFill="1" applyBorder="1"/>
    <xf numFmtId="165" fontId="19" fillId="0" borderId="14" xfId="0" applyNumberFormat="1" applyFont="1" applyFill="1" applyBorder="1"/>
    <xf numFmtId="165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165" fontId="3" fillId="0" borderId="23" xfId="0" applyNumberFormat="1" applyFont="1" applyBorder="1" applyAlignment="1">
      <alignment horizontal="right"/>
    </xf>
    <xf numFmtId="0" fontId="19" fillId="0" borderId="24" xfId="0" applyFon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0" fontId="21" fillId="0" borderId="1" xfId="0" applyFont="1" applyFill="1" applyBorder="1"/>
    <xf numFmtId="0" fontId="3" fillId="7" borderId="16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7" borderId="16" xfId="0" applyFont="1" applyFill="1" applyBorder="1" applyAlignment="1">
      <alignment horizontal="left"/>
    </xf>
    <xf numFmtId="0" fontId="19" fillId="7" borderId="10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left"/>
    </xf>
    <xf numFmtId="0" fontId="19" fillId="0" borderId="26" xfId="0" applyFont="1" applyFill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34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9" fillId="7" borderId="16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164" fontId="19" fillId="0" borderId="24" xfId="0" applyNumberFormat="1" applyFont="1" applyBorder="1" applyAlignment="1">
      <alignment horizontal="left"/>
    </xf>
    <xf numFmtId="164" fontId="19" fillId="0" borderId="25" xfId="0" applyNumberFormat="1" applyFont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left"/>
    </xf>
    <xf numFmtId="165" fontId="32" fillId="0" borderId="0" xfId="0" applyNumberFormat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482"/>
  <sheetViews>
    <sheetView tabSelected="1" showRuler="0" view="pageBreakPreview" topLeftCell="A541" zoomScaleNormal="100" zoomScaleSheetLayoutView="100" workbookViewId="0">
      <selection activeCell="L778" sqref="L778"/>
    </sheetView>
  </sheetViews>
  <sheetFormatPr defaultColWidth="9.140625" defaultRowHeight="18" x14ac:dyDescent="0.25"/>
  <cols>
    <col min="1" max="1" width="24.5703125" style="182" customWidth="1"/>
    <col min="2" max="2" width="27" style="182" customWidth="1"/>
    <col min="3" max="3" width="45.28515625" style="182" hidden="1" customWidth="1"/>
    <col min="4" max="7" width="53.85546875" style="182" hidden="1" customWidth="1"/>
    <col min="8" max="8" width="25.42578125" style="182" hidden="1" customWidth="1"/>
    <col min="9" max="9" width="26.28515625" style="182" hidden="1" customWidth="1"/>
    <col min="10" max="10" width="26" style="182" hidden="1" customWidth="1"/>
    <col min="11" max="11" width="27.5703125" style="1" customWidth="1"/>
    <col min="12" max="12" width="24.42578125" style="182" customWidth="1"/>
    <col min="13" max="14" width="26.85546875" style="187" customWidth="1"/>
    <col min="15" max="15" width="9.140625" style="182" customWidth="1"/>
    <col min="16" max="16384" width="9.140625" style="182"/>
  </cols>
  <sheetData>
    <row r="1" spans="1:20" x14ac:dyDescent="0.25">
      <c r="H1" s="78"/>
    </row>
    <row r="2" spans="1:20" x14ac:dyDescent="0.25">
      <c r="A2" s="605" t="s">
        <v>941</v>
      </c>
      <c r="B2" s="606"/>
      <c r="C2" s="606"/>
      <c r="D2" s="606"/>
      <c r="E2" s="606"/>
      <c r="F2" s="606"/>
      <c r="G2" s="211"/>
      <c r="H2" s="79"/>
      <c r="I2" s="80" t="s">
        <v>655</v>
      </c>
      <c r="J2" s="80" t="s">
        <v>778</v>
      </c>
      <c r="K2" s="174" t="s">
        <v>718</v>
      </c>
      <c r="L2" s="79"/>
      <c r="M2" s="87" t="s">
        <v>655</v>
      </c>
      <c r="N2" s="87" t="s">
        <v>802</v>
      </c>
    </row>
    <row r="3" spans="1:20" x14ac:dyDescent="0.25">
      <c r="A3" s="81" t="s">
        <v>942</v>
      </c>
      <c r="B3" s="82"/>
      <c r="C3" s="82" t="s">
        <v>23</v>
      </c>
      <c r="D3" s="82" t="s">
        <v>24</v>
      </c>
      <c r="E3" s="82" t="s">
        <v>25</v>
      </c>
      <c r="F3" s="82" t="s">
        <v>337</v>
      </c>
      <c r="G3" s="83" t="s">
        <v>650</v>
      </c>
      <c r="H3" s="83" t="s">
        <v>654</v>
      </c>
      <c r="I3" s="209">
        <v>43008</v>
      </c>
      <c r="J3" s="83" t="s">
        <v>656</v>
      </c>
      <c r="K3" s="84" t="s">
        <v>943</v>
      </c>
      <c r="L3" s="83" t="s">
        <v>779</v>
      </c>
      <c r="M3" s="380">
        <v>43373</v>
      </c>
      <c r="N3" s="90" t="s">
        <v>803</v>
      </c>
    </row>
    <row r="4" spans="1:20" ht="18" customHeight="1" x14ac:dyDescent="0.35">
      <c r="A4" s="203" t="s">
        <v>61</v>
      </c>
      <c r="B4" s="251" t="s">
        <v>65</v>
      </c>
      <c r="C4" s="289">
        <v>379814</v>
      </c>
      <c r="D4" s="290">
        <v>397000</v>
      </c>
      <c r="E4" s="289">
        <v>397000</v>
      </c>
      <c r="F4" s="290">
        <v>426533</v>
      </c>
      <c r="G4" s="226">
        <v>597477</v>
      </c>
      <c r="H4" s="204">
        <v>569440</v>
      </c>
      <c r="I4" s="226">
        <f>+H4+19000+7000</f>
        <v>595440</v>
      </c>
      <c r="J4" s="226">
        <v>595000</v>
      </c>
      <c r="K4" s="291">
        <v>595000</v>
      </c>
      <c r="L4" s="291">
        <v>833328.75</v>
      </c>
      <c r="M4" s="226">
        <f>(L4/8)*12</f>
        <v>1249993.125</v>
      </c>
      <c r="N4" s="204">
        <v>1100000</v>
      </c>
      <c r="O4" s="85"/>
      <c r="P4" s="85"/>
      <c r="Q4" s="85"/>
      <c r="R4" s="85"/>
      <c r="S4" s="85"/>
      <c r="T4" s="85"/>
    </row>
    <row r="5" spans="1:20" x14ac:dyDescent="0.25">
      <c r="A5" s="203" t="s">
        <v>62</v>
      </c>
      <c r="B5" s="251" t="s">
        <v>66</v>
      </c>
      <c r="C5" s="289">
        <v>522881</v>
      </c>
      <c r="D5" s="290">
        <v>304910</v>
      </c>
      <c r="E5" s="289">
        <v>457365</v>
      </c>
      <c r="F5" s="290">
        <v>19000</v>
      </c>
      <c r="G5" s="204">
        <v>16500</v>
      </c>
      <c r="H5" s="204">
        <v>12864</v>
      </c>
      <c r="I5" s="204">
        <f>+H5+7000-800</f>
        <v>19064</v>
      </c>
      <c r="J5" s="226">
        <v>19000</v>
      </c>
      <c r="K5" s="291">
        <v>19000</v>
      </c>
      <c r="L5" s="291">
        <v>22014.26</v>
      </c>
      <c r="M5" s="226">
        <f t="shared" ref="M5:M46" si="0">(L5/8)*12</f>
        <v>33021.39</v>
      </c>
      <c r="N5" s="204">
        <v>26000</v>
      </c>
    </row>
    <row r="6" spans="1:20" x14ac:dyDescent="0.25">
      <c r="A6" s="203" t="s">
        <v>63</v>
      </c>
      <c r="B6" s="251" t="s">
        <v>67</v>
      </c>
      <c r="C6" s="289">
        <v>535536</v>
      </c>
      <c r="D6" s="290">
        <v>357024</v>
      </c>
      <c r="E6" s="289">
        <v>535536</v>
      </c>
      <c r="F6" s="290">
        <v>17000</v>
      </c>
      <c r="G6" s="204">
        <v>11000</v>
      </c>
      <c r="H6" s="204">
        <v>6476</v>
      </c>
      <c r="I6" s="204">
        <f>+H6+5800</f>
        <v>12276</v>
      </c>
      <c r="J6" s="204">
        <v>12500</v>
      </c>
      <c r="K6" s="292">
        <v>12500</v>
      </c>
      <c r="L6" s="292">
        <v>8977.7800000000007</v>
      </c>
      <c r="M6" s="226">
        <f>(L6/8)*12</f>
        <v>13466.670000000002</v>
      </c>
      <c r="N6" s="204">
        <v>12500</v>
      </c>
    </row>
    <row r="7" spans="1:20" x14ac:dyDescent="0.25">
      <c r="A7" s="203" t="s">
        <v>64</v>
      </c>
      <c r="B7" s="251" t="s">
        <v>68</v>
      </c>
      <c r="C7" s="289">
        <v>400000</v>
      </c>
      <c r="D7" s="290">
        <v>314443</v>
      </c>
      <c r="E7" s="293">
        <v>471600</v>
      </c>
      <c r="F7" s="290">
        <v>0</v>
      </c>
      <c r="G7" s="204">
        <v>3870</v>
      </c>
      <c r="H7" s="204">
        <v>2756</v>
      </c>
      <c r="I7" s="204">
        <f>+H7+1500</f>
        <v>4256</v>
      </c>
      <c r="J7" s="204">
        <v>4250</v>
      </c>
      <c r="K7" s="292">
        <v>4250</v>
      </c>
      <c r="L7" s="292">
        <v>1057.7</v>
      </c>
      <c r="M7" s="226">
        <f t="shared" si="0"/>
        <v>1586.5500000000002</v>
      </c>
      <c r="N7" s="204">
        <v>2500</v>
      </c>
    </row>
    <row r="8" spans="1:20" x14ac:dyDescent="0.25">
      <c r="A8" s="295" t="s">
        <v>70</v>
      </c>
      <c r="B8" s="251"/>
      <c r="C8" s="283"/>
      <c r="D8" s="282"/>
      <c r="E8" s="283"/>
      <c r="F8" s="282">
        <f t="shared" ref="F8:L8" ca="1" si="1">SUM(F4:F104)</f>
        <v>462533</v>
      </c>
      <c r="G8" s="207">
        <f t="shared" ca="1" si="1"/>
        <v>628847</v>
      </c>
      <c r="H8" s="207">
        <f t="shared" ca="1" si="1"/>
        <v>591536</v>
      </c>
      <c r="I8" s="207">
        <f t="shared" ca="1" si="1"/>
        <v>631036</v>
      </c>
      <c r="J8" s="207">
        <f t="shared" ca="1" si="1"/>
        <v>630750</v>
      </c>
      <c r="K8" s="296">
        <f t="shared" ca="1" si="1"/>
        <v>630750</v>
      </c>
      <c r="L8" s="296">
        <f t="shared" ca="1" si="1"/>
        <v>610595.86</v>
      </c>
      <c r="M8" s="288">
        <f t="shared" ca="1" si="0"/>
        <v>915893.79</v>
      </c>
      <c r="N8" s="136">
        <f>SUM(N4:N7)</f>
        <v>1141000</v>
      </c>
    </row>
    <row r="9" spans="1:20" s="242" customFormat="1" x14ac:dyDescent="0.25">
      <c r="A9" s="315" t="s">
        <v>71</v>
      </c>
      <c r="B9" s="316" t="s">
        <v>75</v>
      </c>
      <c r="C9" s="310">
        <v>22500</v>
      </c>
      <c r="D9" s="311">
        <v>17732</v>
      </c>
      <c r="E9" s="310">
        <v>26600</v>
      </c>
      <c r="F9" s="311">
        <v>14000</v>
      </c>
      <c r="G9" s="226">
        <v>12500</v>
      </c>
      <c r="H9" s="226">
        <v>14963</v>
      </c>
      <c r="I9" s="226">
        <f>+H9+5900-2000-3</f>
        <v>18860</v>
      </c>
      <c r="J9" s="226">
        <v>18900</v>
      </c>
      <c r="K9" s="291">
        <v>18900</v>
      </c>
      <c r="L9" s="291">
        <v>5965.04</v>
      </c>
      <c r="M9" s="226">
        <f t="shared" si="0"/>
        <v>8947.56</v>
      </c>
      <c r="N9" s="226">
        <v>13000</v>
      </c>
    </row>
    <row r="10" spans="1:20" x14ac:dyDescent="0.25">
      <c r="A10" s="257" t="s">
        <v>72</v>
      </c>
      <c r="B10" s="203" t="s">
        <v>76</v>
      </c>
      <c r="C10" s="289">
        <v>20000</v>
      </c>
      <c r="D10" s="290">
        <v>0</v>
      </c>
      <c r="E10" s="289">
        <v>0</v>
      </c>
      <c r="F10" s="290">
        <v>130000</v>
      </c>
      <c r="G10" s="204">
        <v>121300</v>
      </c>
      <c r="H10" s="204">
        <v>71280</v>
      </c>
      <c r="I10" s="204">
        <f>+H10+61000</f>
        <v>132280</v>
      </c>
      <c r="J10" s="204">
        <v>135000</v>
      </c>
      <c r="K10" s="292">
        <v>135000</v>
      </c>
      <c r="L10" s="292">
        <v>77676.92</v>
      </c>
      <c r="M10" s="226">
        <f t="shared" si="0"/>
        <v>116515.38</v>
      </c>
      <c r="N10" s="204">
        <v>135000</v>
      </c>
    </row>
    <row r="11" spans="1:20" x14ac:dyDescent="0.25">
      <c r="A11" s="257" t="s">
        <v>73</v>
      </c>
      <c r="B11" s="203" t="s">
        <v>1</v>
      </c>
      <c r="C11" s="289">
        <v>500</v>
      </c>
      <c r="D11" s="290">
        <v>2582</v>
      </c>
      <c r="E11" s="289">
        <v>3800</v>
      </c>
      <c r="F11" s="290">
        <v>14225</v>
      </c>
      <c r="G11" s="204">
        <v>13500</v>
      </c>
      <c r="H11" s="204">
        <v>20891</v>
      </c>
      <c r="I11" s="204">
        <f>+H11+6000-1</f>
        <v>26890</v>
      </c>
      <c r="J11" s="204">
        <v>26890</v>
      </c>
      <c r="K11" s="292">
        <v>26890</v>
      </c>
      <c r="L11" s="292">
        <v>17002.86</v>
      </c>
      <c r="M11" s="226">
        <f t="shared" si="0"/>
        <v>25504.29</v>
      </c>
      <c r="N11" s="204">
        <v>22000</v>
      </c>
    </row>
    <row r="12" spans="1:20" x14ac:dyDescent="0.25">
      <c r="A12" s="257" t="s">
        <v>74</v>
      </c>
      <c r="B12" s="203" t="s">
        <v>77</v>
      </c>
      <c r="C12" s="289">
        <v>100000</v>
      </c>
      <c r="D12" s="290">
        <v>69226</v>
      </c>
      <c r="E12" s="289">
        <v>103000</v>
      </c>
      <c r="F12" s="290">
        <v>14000</v>
      </c>
      <c r="G12" s="256">
        <v>10900</v>
      </c>
      <c r="H12" s="226">
        <v>4745</v>
      </c>
      <c r="I12" s="226">
        <f>+H12+3000</f>
        <v>7745</v>
      </c>
      <c r="J12" s="256">
        <v>9000</v>
      </c>
      <c r="K12" s="297">
        <v>9000</v>
      </c>
      <c r="L12" s="292">
        <v>2650.84</v>
      </c>
      <c r="M12" s="226">
        <f t="shared" si="0"/>
        <v>3976.26</v>
      </c>
      <c r="N12" s="204">
        <v>5000</v>
      </c>
    </row>
    <row r="13" spans="1:20" x14ac:dyDescent="0.25">
      <c r="A13" s="238" t="s">
        <v>546</v>
      </c>
      <c r="B13" s="196" t="s">
        <v>547</v>
      </c>
      <c r="C13" s="233">
        <v>500</v>
      </c>
      <c r="D13" s="232">
        <v>740</v>
      </c>
      <c r="E13" s="233">
        <v>1100</v>
      </c>
      <c r="F13" s="232">
        <v>0</v>
      </c>
      <c r="G13" s="208">
        <v>10500</v>
      </c>
      <c r="H13" s="208">
        <v>4036</v>
      </c>
      <c r="I13" s="208">
        <f>+H13+2000+4000-1</f>
        <v>10035</v>
      </c>
      <c r="J13" s="208">
        <v>10500</v>
      </c>
      <c r="K13" s="231">
        <v>10500</v>
      </c>
      <c r="L13" s="276">
        <v>3654.46</v>
      </c>
      <c r="M13" s="226">
        <f t="shared" si="0"/>
        <v>5481.6900000000005</v>
      </c>
      <c r="N13" s="204">
        <v>7500</v>
      </c>
    </row>
    <row r="14" spans="1:20" x14ac:dyDescent="0.25">
      <c r="A14" s="300" t="s">
        <v>78</v>
      </c>
      <c r="B14" s="301"/>
      <c r="C14" s="302"/>
      <c r="D14" s="303"/>
      <c r="E14" s="302"/>
      <c r="F14" s="303">
        <f>SUM(F9:F12)</f>
        <v>172225</v>
      </c>
      <c r="G14" s="296">
        <f t="shared" ref="G14:L14" si="2">SUM(G9:G13)</f>
        <v>168700</v>
      </c>
      <c r="H14" s="304">
        <f t="shared" si="2"/>
        <v>115915</v>
      </c>
      <c r="I14" s="304">
        <f t="shared" si="2"/>
        <v>195810</v>
      </c>
      <c r="J14" s="304">
        <f t="shared" si="2"/>
        <v>200290</v>
      </c>
      <c r="K14" s="304">
        <f t="shared" si="2"/>
        <v>200290</v>
      </c>
      <c r="L14" s="304">
        <f t="shared" si="2"/>
        <v>106950.12</v>
      </c>
      <c r="M14" s="288">
        <f t="shared" si="0"/>
        <v>160425.18</v>
      </c>
      <c r="N14" s="136">
        <f>SUM(N9:N13)</f>
        <v>182500</v>
      </c>
    </row>
    <row r="15" spans="1:20" s="242" customFormat="1" x14ac:dyDescent="0.25">
      <c r="A15" s="315" t="s">
        <v>79</v>
      </c>
      <c r="B15" s="316" t="s">
        <v>81</v>
      </c>
      <c r="C15" s="310">
        <v>850</v>
      </c>
      <c r="D15" s="311">
        <v>906</v>
      </c>
      <c r="E15" s="310">
        <v>1359</v>
      </c>
      <c r="F15" s="311">
        <v>1000000</v>
      </c>
      <c r="G15" s="226">
        <v>1025000</v>
      </c>
      <c r="H15" s="226">
        <v>676808</v>
      </c>
      <c r="I15" s="226">
        <f>+H15+301000+55000</f>
        <v>1032808</v>
      </c>
      <c r="J15" s="226">
        <f>+I15*1.01</f>
        <v>1043136.08</v>
      </c>
      <c r="K15" s="226">
        <f>+I15*1.01</f>
        <v>1043136.08</v>
      </c>
      <c r="L15" s="226">
        <v>638180.03</v>
      </c>
      <c r="M15" s="226">
        <f t="shared" si="0"/>
        <v>957270.04500000004</v>
      </c>
      <c r="N15" s="226">
        <v>1020000</v>
      </c>
    </row>
    <row r="16" spans="1:20" s="242" customFormat="1" x14ac:dyDescent="0.25">
      <c r="A16" s="238" t="s">
        <v>80</v>
      </c>
      <c r="B16" s="196" t="s">
        <v>82</v>
      </c>
      <c r="C16" s="219">
        <v>8000</v>
      </c>
      <c r="D16" s="188">
        <v>7605</v>
      </c>
      <c r="E16" s="219">
        <v>11400</v>
      </c>
      <c r="F16" s="188">
        <v>6800</v>
      </c>
      <c r="G16" s="223">
        <v>9800</v>
      </c>
      <c r="H16" s="208">
        <v>4250</v>
      </c>
      <c r="I16" s="223">
        <f>+H16+4000</f>
        <v>8250</v>
      </c>
      <c r="J16" s="208">
        <v>8500</v>
      </c>
      <c r="K16" s="227">
        <v>8500</v>
      </c>
      <c r="L16" s="227">
        <v>8830.42</v>
      </c>
      <c r="M16" s="226">
        <f t="shared" si="0"/>
        <v>13245.630000000001</v>
      </c>
      <c r="N16" s="226">
        <v>0</v>
      </c>
    </row>
    <row r="17" spans="1:14" s="242" customFormat="1" x14ac:dyDescent="0.25">
      <c r="A17" s="300" t="s">
        <v>83</v>
      </c>
      <c r="B17" s="308"/>
      <c r="C17" s="113"/>
      <c r="D17" s="101"/>
      <c r="E17" s="113"/>
      <c r="F17" s="101">
        <f t="shared" ref="F17:L17" si="3">SUM(F15:F16)</f>
        <v>1006800</v>
      </c>
      <c r="G17" s="304">
        <f t="shared" si="3"/>
        <v>1034800</v>
      </c>
      <c r="H17" s="304">
        <f t="shared" si="3"/>
        <v>681058</v>
      </c>
      <c r="I17" s="304">
        <f t="shared" si="3"/>
        <v>1041058</v>
      </c>
      <c r="J17" s="304">
        <f t="shared" si="3"/>
        <v>1051636.08</v>
      </c>
      <c r="K17" s="309">
        <f t="shared" si="3"/>
        <v>1051636.08</v>
      </c>
      <c r="L17" s="309">
        <f t="shared" si="3"/>
        <v>647010.45000000007</v>
      </c>
      <c r="M17" s="288">
        <f t="shared" si="0"/>
        <v>970515.67500000005</v>
      </c>
      <c r="N17" s="288">
        <f>SUM(N15:N16)</f>
        <v>1020000</v>
      </c>
    </row>
    <row r="18" spans="1:14" s="242" customFormat="1" x14ac:dyDescent="0.25">
      <c r="A18" s="257" t="s">
        <v>84</v>
      </c>
      <c r="B18" s="203" t="s">
        <v>88</v>
      </c>
      <c r="C18" s="310">
        <v>100</v>
      </c>
      <c r="D18" s="311">
        <v>15</v>
      </c>
      <c r="E18" s="310">
        <v>25</v>
      </c>
      <c r="F18" s="311">
        <v>50000</v>
      </c>
      <c r="G18" s="204">
        <v>20000</v>
      </c>
      <c r="H18" s="226">
        <v>7988</v>
      </c>
      <c r="I18" s="226">
        <f>+H18+5000+12</f>
        <v>13000</v>
      </c>
      <c r="J18" s="204">
        <v>15000</v>
      </c>
      <c r="K18" s="292">
        <v>15000</v>
      </c>
      <c r="L18" s="292">
        <v>10377.969999999999</v>
      </c>
      <c r="M18" s="226">
        <f t="shared" si="0"/>
        <v>15566.954999999998</v>
      </c>
      <c r="N18" s="204">
        <v>15000</v>
      </c>
    </row>
    <row r="19" spans="1:14" x14ac:dyDescent="0.25">
      <c r="A19" s="257" t="s">
        <v>85</v>
      </c>
      <c r="B19" s="203" t="s">
        <v>0</v>
      </c>
      <c r="C19" s="310">
        <v>3500</v>
      </c>
      <c r="D19" s="311">
        <v>1725</v>
      </c>
      <c r="E19" s="310">
        <v>2500</v>
      </c>
      <c r="F19" s="311">
        <v>100</v>
      </c>
      <c r="G19" s="204">
        <v>0</v>
      </c>
      <c r="H19" s="226">
        <v>600</v>
      </c>
      <c r="I19" s="226">
        <v>600</v>
      </c>
      <c r="J19" s="204">
        <v>600</v>
      </c>
      <c r="K19" s="292">
        <v>600</v>
      </c>
      <c r="L19" s="292">
        <v>0</v>
      </c>
      <c r="M19" s="226">
        <f t="shared" si="0"/>
        <v>0</v>
      </c>
      <c r="N19" s="204">
        <v>1000</v>
      </c>
    </row>
    <row r="20" spans="1:14" x14ac:dyDescent="0.25">
      <c r="A20" s="257" t="s">
        <v>86</v>
      </c>
      <c r="B20" s="203" t="s">
        <v>16</v>
      </c>
      <c r="C20" s="289">
        <v>1000</v>
      </c>
      <c r="D20" s="290">
        <v>1043</v>
      </c>
      <c r="E20" s="289">
        <v>1564</v>
      </c>
      <c r="F20" s="290">
        <v>3000</v>
      </c>
      <c r="G20" s="204">
        <v>1000</v>
      </c>
      <c r="H20" s="204">
        <v>600</v>
      </c>
      <c r="I20" s="204">
        <v>800</v>
      </c>
      <c r="J20" s="204">
        <v>1000</v>
      </c>
      <c r="K20" s="292">
        <v>1000</v>
      </c>
      <c r="L20" s="292">
        <v>530</v>
      </c>
      <c r="M20" s="226">
        <f t="shared" si="0"/>
        <v>795</v>
      </c>
      <c r="N20" s="204">
        <v>1000</v>
      </c>
    </row>
    <row r="21" spans="1:14" x14ac:dyDescent="0.25">
      <c r="A21" s="238" t="s">
        <v>87</v>
      </c>
      <c r="B21" s="196" t="s">
        <v>89</v>
      </c>
      <c r="C21" s="258"/>
      <c r="D21" s="169"/>
      <c r="E21" s="258"/>
      <c r="F21" s="169">
        <v>400</v>
      </c>
      <c r="G21" s="223">
        <v>600</v>
      </c>
      <c r="H21" s="223">
        <v>305</v>
      </c>
      <c r="I21" s="223">
        <v>600</v>
      </c>
      <c r="J21" s="223">
        <v>600</v>
      </c>
      <c r="K21" s="231">
        <v>600</v>
      </c>
      <c r="L21" s="231">
        <v>280</v>
      </c>
      <c r="M21" s="226">
        <f t="shared" si="0"/>
        <v>420</v>
      </c>
      <c r="N21" s="204">
        <v>600</v>
      </c>
    </row>
    <row r="22" spans="1:14" x14ac:dyDescent="0.25">
      <c r="A22" s="252" t="s">
        <v>852</v>
      </c>
      <c r="B22" s="170" t="s">
        <v>853</v>
      </c>
      <c r="C22" s="258"/>
      <c r="D22" s="169"/>
      <c r="E22" s="258"/>
      <c r="F22" s="169"/>
      <c r="G22" s="223"/>
      <c r="H22" s="223"/>
      <c r="I22" s="223"/>
      <c r="J22" s="223"/>
      <c r="K22" s="204">
        <v>2600</v>
      </c>
      <c r="L22" s="204"/>
      <c r="M22" s="226"/>
      <c r="N22" s="204">
        <v>2600</v>
      </c>
    </row>
    <row r="23" spans="1:14" x14ac:dyDescent="0.25">
      <c r="A23" s="300" t="s">
        <v>90</v>
      </c>
      <c r="B23" s="308"/>
      <c r="C23" s="113"/>
      <c r="D23" s="101"/>
      <c r="E23" s="113"/>
      <c r="F23" s="101">
        <f>SUM(F18:F21)</f>
        <v>53500</v>
      </c>
      <c r="G23" s="304">
        <f>SUM(G18:G21)</f>
        <v>21600</v>
      </c>
      <c r="H23" s="304">
        <f>SUM(H18:H21)</f>
        <v>9493</v>
      </c>
      <c r="I23" s="304">
        <f>SUM(I18:I21)</f>
        <v>15000</v>
      </c>
      <c r="J23" s="304">
        <f>SUM(J18:J21)</f>
        <v>17200</v>
      </c>
      <c r="K23" s="313">
        <f>SUM(K18:K22)</f>
        <v>19800</v>
      </c>
      <c r="L23" s="313">
        <f>SUM(L18:L21)</f>
        <v>11187.97</v>
      </c>
      <c r="M23" s="288">
        <f t="shared" si="0"/>
        <v>16781.954999999998</v>
      </c>
      <c r="N23" s="136">
        <f>SUM(N18:N22)</f>
        <v>20200</v>
      </c>
    </row>
    <row r="24" spans="1:14" s="242" customFormat="1" x14ac:dyDescent="0.25">
      <c r="A24" s="315" t="s">
        <v>91</v>
      </c>
      <c r="B24" s="316" t="s">
        <v>93</v>
      </c>
      <c r="C24" s="310">
        <v>5000</v>
      </c>
      <c r="D24" s="311">
        <v>6181</v>
      </c>
      <c r="E24" s="310">
        <v>9200</v>
      </c>
      <c r="F24" s="311">
        <v>260000</v>
      </c>
      <c r="G24" s="226">
        <v>180000</v>
      </c>
      <c r="H24" s="226">
        <v>136297</v>
      </c>
      <c r="I24" s="226">
        <f>+H24+36703+13000</f>
        <v>186000</v>
      </c>
      <c r="J24" s="226">
        <v>190000</v>
      </c>
      <c r="K24" s="291">
        <v>190000</v>
      </c>
      <c r="L24" s="291">
        <v>167832.3</v>
      </c>
      <c r="M24" s="226">
        <f t="shared" si="0"/>
        <v>251748.44999999998</v>
      </c>
      <c r="N24" s="226">
        <v>225000</v>
      </c>
    </row>
    <row r="25" spans="1:14" x14ac:dyDescent="0.25">
      <c r="A25" s="238" t="s">
        <v>92</v>
      </c>
      <c r="B25" s="196" t="s">
        <v>94</v>
      </c>
      <c r="C25" s="258">
        <v>600</v>
      </c>
      <c r="D25" s="169">
        <v>555</v>
      </c>
      <c r="E25" s="258">
        <v>830</v>
      </c>
      <c r="F25" s="169">
        <v>900</v>
      </c>
      <c r="G25" s="223">
        <v>1250</v>
      </c>
      <c r="H25" s="223">
        <v>630</v>
      </c>
      <c r="I25" s="223">
        <v>1250</v>
      </c>
      <c r="J25" s="223">
        <v>1250</v>
      </c>
      <c r="K25" s="231">
        <v>1250</v>
      </c>
      <c r="L25" s="231">
        <v>284</v>
      </c>
      <c r="M25" s="226">
        <f t="shared" si="0"/>
        <v>426</v>
      </c>
      <c r="N25" s="204">
        <v>1250</v>
      </c>
    </row>
    <row r="26" spans="1:14" ht="18.75" thickBot="1" x14ac:dyDescent="0.3">
      <c r="A26" s="298" t="s">
        <v>95</v>
      </c>
      <c r="B26" s="305"/>
      <c r="C26" s="306"/>
      <c r="D26" s="110"/>
      <c r="E26" s="306"/>
      <c r="F26" s="110">
        <f t="shared" ref="F26:L26" si="4">SUM(F24:F25)</f>
        <v>260900</v>
      </c>
      <c r="G26" s="299">
        <f t="shared" si="4"/>
        <v>181250</v>
      </c>
      <c r="H26" s="299">
        <f t="shared" si="4"/>
        <v>136927</v>
      </c>
      <c r="I26" s="299">
        <f t="shared" si="4"/>
        <v>187250</v>
      </c>
      <c r="J26" s="299">
        <f t="shared" si="4"/>
        <v>191250</v>
      </c>
      <c r="K26" s="312">
        <f t="shared" si="4"/>
        <v>191250</v>
      </c>
      <c r="L26" s="312">
        <f t="shared" si="4"/>
        <v>168116.3</v>
      </c>
      <c r="M26" s="288">
        <f t="shared" si="0"/>
        <v>252174.44999999998</v>
      </c>
      <c r="N26" s="136">
        <f>SUM(N24:N25)</f>
        <v>226250</v>
      </c>
    </row>
    <row r="27" spans="1:14" x14ac:dyDescent="0.25">
      <c r="A27" s="237" t="s">
        <v>96</v>
      </c>
      <c r="B27" s="198" t="s">
        <v>302</v>
      </c>
      <c r="C27" s="219">
        <v>14000</v>
      </c>
      <c r="D27" s="188">
        <v>14881</v>
      </c>
      <c r="E27" s="219">
        <v>22321</v>
      </c>
      <c r="F27" s="188">
        <v>584000</v>
      </c>
      <c r="G27" s="223">
        <v>742000</v>
      </c>
      <c r="H27" s="223">
        <v>501348</v>
      </c>
      <c r="I27" s="223">
        <f>+H27+250000</f>
        <v>751348</v>
      </c>
      <c r="J27" s="223">
        <v>752000</v>
      </c>
      <c r="K27" s="223">
        <v>752000</v>
      </c>
      <c r="L27" s="223">
        <v>493137.85</v>
      </c>
      <c r="M27" s="226">
        <f t="shared" si="0"/>
        <v>739706.77499999991</v>
      </c>
      <c r="N27" s="204">
        <v>775000</v>
      </c>
    </row>
    <row r="28" spans="1:14" x14ac:dyDescent="0.25">
      <c r="A28" s="403" t="s">
        <v>97</v>
      </c>
      <c r="B28" s="135"/>
      <c r="C28" s="404"/>
      <c r="D28" s="405"/>
      <c r="E28" s="404"/>
      <c r="F28" s="405">
        <f t="shared" ref="F28:L28" si="5">SUM(F27)</f>
        <v>584000</v>
      </c>
      <c r="G28" s="136">
        <f t="shared" si="5"/>
        <v>742000</v>
      </c>
      <c r="H28" s="136">
        <f t="shared" si="5"/>
        <v>501348</v>
      </c>
      <c r="I28" s="136">
        <f t="shared" si="5"/>
        <v>751348</v>
      </c>
      <c r="J28" s="136">
        <f t="shared" si="5"/>
        <v>752000</v>
      </c>
      <c r="K28" s="136">
        <f t="shared" si="5"/>
        <v>752000</v>
      </c>
      <c r="L28" s="136">
        <f t="shared" si="5"/>
        <v>493137.85</v>
      </c>
      <c r="M28" s="288">
        <f t="shared" si="0"/>
        <v>739706.77499999991</v>
      </c>
      <c r="N28" s="136">
        <f>SUM(N27)</f>
        <v>775000</v>
      </c>
    </row>
    <row r="29" spans="1:14" x14ac:dyDescent="0.25">
      <c r="A29" s="257" t="s">
        <v>98</v>
      </c>
      <c r="B29" s="203" t="s">
        <v>102</v>
      </c>
      <c r="C29" s="289">
        <v>1200</v>
      </c>
      <c r="D29" s="290">
        <v>0</v>
      </c>
      <c r="E29" s="289">
        <v>0</v>
      </c>
      <c r="F29" s="311">
        <v>31000</v>
      </c>
      <c r="G29" s="204">
        <v>16800</v>
      </c>
      <c r="H29" s="204">
        <v>5250</v>
      </c>
      <c r="I29" s="226">
        <v>15000</v>
      </c>
      <c r="J29" s="204">
        <v>16000</v>
      </c>
      <c r="K29" s="204">
        <v>16000</v>
      </c>
      <c r="L29" s="204">
        <v>6925</v>
      </c>
      <c r="M29" s="226">
        <f t="shared" si="0"/>
        <v>10387.5</v>
      </c>
      <c r="N29" s="204">
        <v>10000</v>
      </c>
    </row>
    <row r="30" spans="1:14" s="86" customFormat="1" x14ac:dyDescent="0.25">
      <c r="A30" s="315" t="s">
        <v>99</v>
      </c>
      <c r="B30" s="316" t="s">
        <v>103</v>
      </c>
      <c r="C30" s="289">
        <v>300</v>
      </c>
      <c r="D30" s="290">
        <v>0</v>
      </c>
      <c r="E30" s="289">
        <v>0</v>
      </c>
      <c r="F30" s="290">
        <v>2800</v>
      </c>
      <c r="G30" s="204">
        <v>2000</v>
      </c>
      <c r="H30" s="204">
        <v>2685</v>
      </c>
      <c r="I30" s="204">
        <v>2800</v>
      </c>
      <c r="J30" s="204">
        <v>2800</v>
      </c>
      <c r="K30" s="204">
        <v>2800</v>
      </c>
      <c r="L30" s="204">
        <v>1885</v>
      </c>
      <c r="M30" s="226">
        <f t="shared" si="0"/>
        <v>2827.5</v>
      </c>
      <c r="N30" s="204">
        <v>2500</v>
      </c>
    </row>
    <row r="31" spans="1:14" x14ac:dyDescent="0.25">
      <c r="A31" s="315" t="s">
        <v>100</v>
      </c>
      <c r="B31" s="316" t="s">
        <v>104</v>
      </c>
      <c r="C31" s="289"/>
      <c r="D31" s="290"/>
      <c r="E31" s="289"/>
      <c r="F31" s="290">
        <v>125</v>
      </c>
      <c r="G31" s="204">
        <v>130</v>
      </c>
      <c r="H31" s="204">
        <v>20</v>
      </c>
      <c r="I31" s="204">
        <v>100</v>
      </c>
      <c r="J31" s="204">
        <v>100</v>
      </c>
      <c r="K31" s="204">
        <v>100</v>
      </c>
      <c r="L31" s="204">
        <v>100</v>
      </c>
      <c r="M31" s="226">
        <f t="shared" si="0"/>
        <v>150</v>
      </c>
      <c r="N31" s="204">
        <v>200</v>
      </c>
    </row>
    <row r="32" spans="1:14" x14ac:dyDescent="0.25">
      <c r="A32" s="257" t="s">
        <v>101</v>
      </c>
      <c r="B32" s="203" t="s">
        <v>105</v>
      </c>
      <c r="C32" s="289">
        <v>500</v>
      </c>
      <c r="D32" s="290">
        <v>309</v>
      </c>
      <c r="E32" s="289">
        <v>463</v>
      </c>
      <c r="F32" s="290">
        <v>13000</v>
      </c>
      <c r="G32" s="204">
        <v>11400</v>
      </c>
      <c r="H32" s="226">
        <v>700</v>
      </c>
      <c r="I32" s="204">
        <f>+H32+9950</f>
        <v>10650</v>
      </c>
      <c r="J32" s="204">
        <v>11000</v>
      </c>
      <c r="K32" s="204">
        <v>11000</v>
      </c>
      <c r="L32" s="204">
        <v>875</v>
      </c>
      <c r="M32" s="226">
        <f t="shared" si="0"/>
        <v>1312.5</v>
      </c>
      <c r="N32" s="204">
        <v>11000</v>
      </c>
    </row>
    <row r="33" spans="1:14" x14ac:dyDescent="0.25">
      <c r="A33" s="300" t="s">
        <v>106</v>
      </c>
      <c r="B33" s="308"/>
      <c r="C33" s="113"/>
      <c r="D33" s="101"/>
      <c r="E33" s="113"/>
      <c r="F33" s="101">
        <f t="shared" ref="F33:L33" si="6">SUM(F29:F32)</f>
        <v>46925</v>
      </c>
      <c r="G33" s="304">
        <f t="shared" si="6"/>
        <v>30330</v>
      </c>
      <c r="H33" s="304">
        <f t="shared" si="6"/>
        <v>8655</v>
      </c>
      <c r="I33" s="304">
        <f t="shared" si="6"/>
        <v>28550</v>
      </c>
      <c r="J33" s="304">
        <f t="shared" si="6"/>
        <v>29900</v>
      </c>
      <c r="K33" s="304">
        <f t="shared" si="6"/>
        <v>29900</v>
      </c>
      <c r="L33" s="304">
        <f t="shared" si="6"/>
        <v>9785</v>
      </c>
      <c r="M33" s="288">
        <f t="shared" si="0"/>
        <v>14677.5</v>
      </c>
      <c r="N33" s="136">
        <f>SUM(N29:N32)</f>
        <v>23700</v>
      </c>
    </row>
    <row r="34" spans="1:14" x14ac:dyDescent="0.25">
      <c r="A34" s="315" t="s">
        <v>107</v>
      </c>
      <c r="B34" s="316" t="s">
        <v>113</v>
      </c>
      <c r="C34" s="310">
        <v>75</v>
      </c>
      <c r="D34" s="311">
        <v>42</v>
      </c>
      <c r="E34" s="310">
        <v>63</v>
      </c>
      <c r="F34" s="311">
        <v>579482</v>
      </c>
      <c r="G34" s="226">
        <v>480000</v>
      </c>
      <c r="H34" s="226">
        <v>320000</v>
      </c>
      <c r="I34" s="226">
        <f>+H34+160000</f>
        <v>480000</v>
      </c>
      <c r="J34" s="226">
        <f>100000*12</f>
        <v>1200000</v>
      </c>
      <c r="K34" s="226">
        <v>1150000</v>
      </c>
      <c r="L34" s="226">
        <v>766666.56</v>
      </c>
      <c r="M34" s="226">
        <f t="shared" si="0"/>
        <v>1149999.8400000001</v>
      </c>
      <c r="N34" s="204">
        <v>1150000</v>
      </c>
    </row>
    <row r="35" spans="1:14" s="242" customFormat="1" x14ac:dyDescent="0.25">
      <c r="A35" s="315" t="s">
        <v>108</v>
      </c>
      <c r="B35" s="316" t="s">
        <v>114</v>
      </c>
      <c r="C35" s="310">
        <v>25</v>
      </c>
      <c r="D35" s="311">
        <v>4</v>
      </c>
      <c r="E35" s="310">
        <v>5</v>
      </c>
      <c r="F35" s="311">
        <v>65000</v>
      </c>
      <c r="G35" s="226">
        <v>240000</v>
      </c>
      <c r="H35" s="226">
        <v>99000</v>
      </c>
      <c r="I35" s="226">
        <f>+H35+48000+48000</f>
        <v>195000</v>
      </c>
      <c r="J35" s="226">
        <v>200000</v>
      </c>
      <c r="K35" s="226">
        <v>200000</v>
      </c>
      <c r="L35" s="226">
        <v>175000</v>
      </c>
      <c r="M35" s="226">
        <f t="shared" si="0"/>
        <v>262500</v>
      </c>
      <c r="N35" s="226">
        <v>252000</v>
      </c>
    </row>
    <row r="36" spans="1:14" s="268" customFormat="1" x14ac:dyDescent="0.25">
      <c r="A36" s="257" t="s">
        <v>109</v>
      </c>
      <c r="B36" s="203" t="s">
        <v>115</v>
      </c>
      <c r="C36" s="289">
        <v>0</v>
      </c>
      <c r="D36" s="290">
        <v>0</v>
      </c>
      <c r="E36" s="289">
        <v>0</v>
      </c>
      <c r="F36" s="290">
        <v>3000</v>
      </c>
      <c r="G36" s="204">
        <v>10000</v>
      </c>
      <c r="H36" s="204">
        <v>1781</v>
      </c>
      <c r="I36" s="226">
        <v>5000</v>
      </c>
      <c r="J36" s="204">
        <v>5000</v>
      </c>
      <c r="K36" s="204">
        <v>5000</v>
      </c>
      <c r="L36" s="204">
        <v>0</v>
      </c>
      <c r="M36" s="226">
        <f t="shared" si="0"/>
        <v>0</v>
      </c>
      <c r="N36" s="204">
        <v>5000</v>
      </c>
    </row>
    <row r="37" spans="1:14" s="242" customFormat="1" x14ac:dyDescent="0.25">
      <c r="A37" s="315" t="s">
        <v>110</v>
      </c>
      <c r="B37" s="316" t="s">
        <v>116</v>
      </c>
      <c r="C37" s="310">
        <v>50</v>
      </c>
      <c r="D37" s="311">
        <v>0</v>
      </c>
      <c r="E37" s="310">
        <v>0</v>
      </c>
      <c r="F37" s="311">
        <v>4500</v>
      </c>
      <c r="G37" s="226">
        <v>6750</v>
      </c>
      <c r="H37" s="226">
        <v>3112</v>
      </c>
      <c r="I37" s="226">
        <f>+H37+(500*4)</f>
        <v>5112</v>
      </c>
      <c r="J37" s="226">
        <v>12000</v>
      </c>
      <c r="K37" s="226">
        <v>12000</v>
      </c>
      <c r="L37" s="226">
        <v>15289.95</v>
      </c>
      <c r="M37" s="226">
        <f t="shared" si="0"/>
        <v>22934.925000000003</v>
      </c>
      <c r="N37" s="226">
        <v>35000</v>
      </c>
    </row>
    <row r="38" spans="1:14" s="242" customFormat="1" x14ac:dyDescent="0.25">
      <c r="A38" s="315" t="s">
        <v>111</v>
      </c>
      <c r="B38" s="316" t="s">
        <v>117</v>
      </c>
      <c r="C38" s="310">
        <v>1250</v>
      </c>
      <c r="D38" s="310">
        <v>2232</v>
      </c>
      <c r="E38" s="526">
        <v>3500</v>
      </c>
      <c r="F38" s="311">
        <v>16200</v>
      </c>
      <c r="G38" s="226">
        <v>16200</v>
      </c>
      <c r="H38" s="226">
        <v>10800</v>
      </c>
      <c r="I38" s="226">
        <f>+H38+(1350*4)</f>
        <v>16200</v>
      </c>
      <c r="J38" s="226">
        <v>25000</v>
      </c>
      <c r="K38" s="226">
        <v>25000</v>
      </c>
      <c r="L38" s="226">
        <v>16666.64</v>
      </c>
      <c r="M38" s="226">
        <f t="shared" si="0"/>
        <v>24999.96</v>
      </c>
      <c r="N38" s="226">
        <v>25000</v>
      </c>
    </row>
    <row r="39" spans="1:14" x14ac:dyDescent="0.25">
      <c r="A39" s="257" t="s">
        <v>112</v>
      </c>
      <c r="B39" s="203" t="s">
        <v>59</v>
      </c>
      <c r="C39" s="289">
        <v>2000</v>
      </c>
      <c r="D39" s="317">
        <v>832</v>
      </c>
      <c r="E39" s="289">
        <v>1250</v>
      </c>
      <c r="F39" s="290">
        <v>5000</v>
      </c>
      <c r="G39" s="204">
        <v>15000</v>
      </c>
      <c r="H39" s="204">
        <f>297203-246619</f>
        <v>50584</v>
      </c>
      <c r="I39" s="204">
        <v>51000</v>
      </c>
      <c r="J39" s="204">
        <v>25000</v>
      </c>
      <c r="K39" s="204">
        <v>25000</v>
      </c>
      <c r="L39" s="204">
        <v>34920.42</v>
      </c>
      <c r="M39" s="226">
        <f t="shared" si="0"/>
        <v>52380.63</v>
      </c>
      <c r="N39" s="204">
        <v>25000</v>
      </c>
    </row>
    <row r="40" spans="1:14" x14ac:dyDescent="0.25">
      <c r="A40" s="257" t="s">
        <v>653</v>
      </c>
      <c r="B40" s="203" t="s">
        <v>914</v>
      </c>
      <c r="C40" s="289">
        <v>2000</v>
      </c>
      <c r="D40" s="317">
        <v>832</v>
      </c>
      <c r="E40" s="289">
        <v>1250</v>
      </c>
      <c r="F40" s="290">
        <v>5000</v>
      </c>
      <c r="G40" s="204">
        <v>18500</v>
      </c>
      <c r="H40" s="204">
        <v>18786</v>
      </c>
      <c r="I40" s="204">
        <f>+H40+3000</f>
        <v>21786</v>
      </c>
      <c r="J40" s="204">
        <v>23000</v>
      </c>
      <c r="K40" s="204">
        <v>23000</v>
      </c>
      <c r="L40" s="204">
        <v>5000</v>
      </c>
      <c r="M40" s="226">
        <f t="shared" si="0"/>
        <v>7500</v>
      </c>
      <c r="N40" s="204">
        <v>23000</v>
      </c>
    </row>
    <row r="41" spans="1:14" ht="18.75" customHeight="1" x14ac:dyDescent="0.25">
      <c r="A41" s="238" t="s">
        <v>669</v>
      </c>
      <c r="B41" s="196" t="s">
        <v>670</v>
      </c>
      <c r="C41" s="219">
        <v>2001</v>
      </c>
      <c r="D41" s="222">
        <v>833</v>
      </c>
      <c r="E41" s="219">
        <v>1250</v>
      </c>
      <c r="F41" s="188">
        <v>5000</v>
      </c>
      <c r="G41" s="208">
        <v>0</v>
      </c>
      <c r="H41" s="208">
        <v>7573</v>
      </c>
      <c r="I41" s="208">
        <v>7573</v>
      </c>
      <c r="J41" s="208">
        <v>8000</v>
      </c>
      <c r="K41" s="208">
        <v>8000</v>
      </c>
      <c r="L41" s="287">
        <v>4869.41</v>
      </c>
      <c r="M41" s="226">
        <f t="shared" si="0"/>
        <v>7304.1149999999998</v>
      </c>
      <c r="N41" s="204">
        <v>2500</v>
      </c>
    </row>
    <row r="42" spans="1:14" ht="18.75" customHeight="1" x14ac:dyDescent="0.25">
      <c r="A42" s="320" t="s">
        <v>118</v>
      </c>
      <c r="B42" s="321"/>
      <c r="C42" s="158"/>
      <c r="D42" s="322"/>
      <c r="E42" s="158"/>
      <c r="F42" s="167">
        <f>SUM(F34:F39)</f>
        <v>673182</v>
      </c>
      <c r="G42" s="318">
        <f t="shared" ref="G42:L42" si="7">SUM(G34:G41)</f>
        <v>786450</v>
      </c>
      <c r="H42" s="318">
        <f t="shared" si="7"/>
        <v>511636</v>
      </c>
      <c r="I42" s="318">
        <f t="shared" si="7"/>
        <v>781671</v>
      </c>
      <c r="J42" s="318">
        <f t="shared" si="7"/>
        <v>1498000</v>
      </c>
      <c r="K42" s="318">
        <f t="shared" si="7"/>
        <v>1448000</v>
      </c>
      <c r="L42" s="319">
        <f t="shared" si="7"/>
        <v>1018412.9800000001</v>
      </c>
      <c r="M42" s="288">
        <f t="shared" si="0"/>
        <v>1527619.4700000002</v>
      </c>
      <c r="N42" s="136">
        <f>SUM(N34:N41)</f>
        <v>1517500</v>
      </c>
    </row>
    <row r="43" spans="1:14" x14ac:dyDescent="0.25">
      <c r="A43" s="257" t="s">
        <v>119</v>
      </c>
      <c r="B43" s="203" t="s">
        <v>122</v>
      </c>
      <c r="C43" s="289"/>
      <c r="D43" s="317"/>
      <c r="E43" s="289"/>
      <c r="F43" s="290">
        <v>1000</v>
      </c>
      <c r="G43" s="204">
        <v>120</v>
      </c>
      <c r="H43" s="204">
        <v>44</v>
      </c>
      <c r="I43" s="204">
        <v>120</v>
      </c>
      <c r="J43" s="204">
        <v>120</v>
      </c>
      <c r="K43" s="204">
        <v>120</v>
      </c>
      <c r="L43" s="204">
        <v>38</v>
      </c>
      <c r="M43" s="226">
        <f t="shared" si="0"/>
        <v>57</v>
      </c>
      <c r="N43" s="204">
        <v>75</v>
      </c>
    </row>
    <row r="44" spans="1:14" x14ac:dyDescent="0.25">
      <c r="A44" s="257" t="s">
        <v>120</v>
      </c>
      <c r="B44" s="203" t="s">
        <v>123</v>
      </c>
      <c r="C44" s="289"/>
      <c r="D44" s="317"/>
      <c r="E44" s="289"/>
      <c r="F44" s="290">
        <v>275</v>
      </c>
      <c r="G44" s="204">
        <v>125</v>
      </c>
      <c r="H44" s="204">
        <v>55</v>
      </c>
      <c r="I44" s="204">
        <v>125</v>
      </c>
      <c r="J44" s="204">
        <v>125</v>
      </c>
      <c r="K44" s="204">
        <v>125</v>
      </c>
      <c r="L44" s="204">
        <v>5.9</v>
      </c>
      <c r="M44" s="226">
        <f t="shared" si="0"/>
        <v>8.8500000000000014</v>
      </c>
      <c r="N44" s="204">
        <v>50</v>
      </c>
    </row>
    <row r="45" spans="1:14" x14ac:dyDescent="0.25">
      <c r="A45" s="238" t="s">
        <v>121</v>
      </c>
      <c r="B45" s="196" t="s">
        <v>124</v>
      </c>
      <c r="C45" s="219"/>
      <c r="D45" s="222"/>
      <c r="E45" s="219"/>
      <c r="F45" s="188">
        <v>200</v>
      </c>
      <c r="G45" s="223">
        <v>50</v>
      </c>
      <c r="H45" s="223">
        <v>0</v>
      </c>
      <c r="I45" s="223">
        <v>0</v>
      </c>
      <c r="J45" s="223">
        <v>50</v>
      </c>
      <c r="K45" s="208">
        <v>50</v>
      </c>
      <c r="L45" s="287">
        <v>-5</v>
      </c>
      <c r="M45" s="226">
        <f t="shared" si="0"/>
        <v>-7.5</v>
      </c>
      <c r="N45" s="204">
        <v>50</v>
      </c>
    </row>
    <row r="46" spans="1:14" ht="18.75" thickBot="1" x14ac:dyDescent="0.3">
      <c r="A46" s="294" t="s">
        <v>125</v>
      </c>
      <c r="B46" s="305"/>
      <c r="C46" s="306"/>
      <c r="D46" s="323"/>
      <c r="E46" s="306"/>
      <c r="F46" s="110">
        <f t="shared" ref="F46:L46" si="8">SUM(F43:F45)</f>
        <v>1475</v>
      </c>
      <c r="G46" s="299">
        <f t="shared" si="8"/>
        <v>295</v>
      </c>
      <c r="H46" s="299">
        <f t="shared" si="8"/>
        <v>99</v>
      </c>
      <c r="I46" s="299">
        <f t="shared" si="8"/>
        <v>245</v>
      </c>
      <c r="J46" s="299">
        <f t="shared" si="8"/>
        <v>295</v>
      </c>
      <c r="K46" s="299">
        <f t="shared" si="8"/>
        <v>295</v>
      </c>
      <c r="L46" s="324">
        <f t="shared" si="8"/>
        <v>38.9</v>
      </c>
      <c r="M46" s="288">
        <f t="shared" si="0"/>
        <v>58.349999999999994</v>
      </c>
      <c r="N46" s="288">
        <f>SUM(N43:N45)</f>
        <v>175</v>
      </c>
    </row>
    <row r="47" spans="1:14" s="242" customFormat="1" ht="18.75" thickBot="1" x14ac:dyDescent="0.3">
      <c r="A47" s="592" t="s">
        <v>6</v>
      </c>
      <c r="B47" s="613"/>
      <c r="C47" s="149">
        <f>SUM(C4:C45)</f>
        <v>2024182</v>
      </c>
      <c r="D47" s="150">
        <f>SUM(D4:D45)</f>
        <v>1501652</v>
      </c>
      <c r="E47" s="149">
        <f>SUM(E4:E45)</f>
        <v>2052981</v>
      </c>
      <c r="F47" s="150">
        <f ca="1">SUM(F8+F14+F17+F23+F26+F28+F33+F42+F46)</f>
        <v>3261540</v>
      </c>
      <c r="G47" s="151" t="e">
        <f ca="1">SUM(G8+G14+G17+G23+G26+G28+G33+G42+G46+#REF!)</f>
        <v>#REF!</v>
      </c>
      <c r="H47" s="151" t="e">
        <f ca="1">SUM(H8+H14+H17+H23+H26+H28+H33+H42+H46+#REF!)</f>
        <v>#REF!</v>
      </c>
      <c r="I47" s="151" t="e">
        <f ca="1">SUM(I8+I14+I17+I23+I26+I28+I33+I42+I46+#REF!)</f>
        <v>#REF!</v>
      </c>
      <c r="J47" s="151" t="e">
        <f ca="1">SUM(J8+J14+J17+J23+J26+J28+J33+J42+J46+#REF!)</f>
        <v>#REF!</v>
      </c>
      <c r="K47" s="151">
        <f ca="1">SUM(K42+K33+K28+K26+K23+K17+K14+K8+ K46)</f>
        <v>4419921.08</v>
      </c>
      <c r="L47" s="151">
        <f ca="1">SUM(L42+L33+L28+L26+L23+L17+L14+L8+ L46)</f>
        <v>3137235.43</v>
      </c>
      <c r="M47" s="151">
        <f ca="1">SUM(M42+M33+M28+M26+M23+M17+M14+M8+ M46)</f>
        <v>4705853.1449999996</v>
      </c>
      <c r="N47" s="151">
        <f>SUM(N42+N33+N28+N26+N23+N17+N14+N8+ N46)</f>
        <v>4906325</v>
      </c>
    </row>
    <row r="48" spans="1:14" x14ac:dyDescent="0.25">
      <c r="A48" s="1"/>
      <c r="B48" s="1"/>
      <c r="C48" s="1"/>
      <c r="D48" s="1"/>
      <c r="E48" s="1"/>
      <c r="F48" s="1"/>
      <c r="G48" s="187"/>
      <c r="H48" s="187"/>
      <c r="I48" s="187"/>
      <c r="J48" s="187"/>
      <c r="L48" s="44"/>
    </row>
    <row r="49" spans="1:14" x14ac:dyDescent="0.25">
      <c r="A49" s="605" t="s">
        <v>14</v>
      </c>
      <c r="B49" s="606"/>
      <c r="C49" s="606"/>
      <c r="D49" s="606"/>
      <c r="E49" s="606"/>
      <c r="F49" s="591"/>
      <c r="G49" s="87"/>
      <c r="H49" s="88"/>
      <c r="I49" s="87" t="str">
        <f>+I2</f>
        <v xml:space="preserve"> Estimated</v>
      </c>
      <c r="J49" s="87" t="s">
        <v>778</v>
      </c>
      <c r="K49" s="174" t="s">
        <v>767</v>
      </c>
      <c r="L49" s="79"/>
      <c r="M49" s="87" t="s">
        <v>655</v>
      </c>
      <c r="N49" s="87" t="s">
        <v>802</v>
      </c>
    </row>
    <row r="50" spans="1:14" s="242" customFormat="1" x14ac:dyDescent="0.25">
      <c r="A50" s="81" t="s">
        <v>132</v>
      </c>
      <c r="B50" s="82"/>
      <c r="C50" s="82" t="s">
        <v>23</v>
      </c>
      <c r="D50" s="82" t="s">
        <v>26</v>
      </c>
      <c r="E50" s="82" t="s">
        <v>25</v>
      </c>
      <c r="F50" s="89" t="s">
        <v>338</v>
      </c>
      <c r="G50" s="90" t="str">
        <f>+G3</f>
        <v>Budget 2016-17</v>
      </c>
      <c r="H50" s="90" t="str">
        <f>+H3</f>
        <v>Actual 5/31/17</v>
      </c>
      <c r="I50" s="90">
        <f>+I3</f>
        <v>43008</v>
      </c>
      <c r="J50" s="90" t="str">
        <f>+J3</f>
        <v>Budget 2017-18</v>
      </c>
      <c r="K50" s="84" t="s">
        <v>766</v>
      </c>
      <c r="L50" s="83" t="s">
        <v>779</v>
      </c>
      <c r="M50" s="380">
        <v>43373</v>
      </c>
      <c r="N50" s="90" t="s">
        <v>803</v>
      </c>
    </row>
    <row r="51" spans="1:14" s="242" customFormat="1" x14ac:dyDescent="0.25">
      <c r="A51" s="325" t="s">
        <v>126</v>
      </c>
      <c r="B51" s="316" t="s">
        <v>5</v>
      </c>
      <c r="C51" s="326">
        <v>47800</v>
      </c>
      <c r="D51" s="327">
        <v>31949</v>
      </c>
      <c r="E51" s="326">
        <v>47923</v>
      </c>
      <c r="F51" s="327">
        <v>142686</v>
      </c>
      <c r="G51" s="226">
        <v>141853</v>
      </c>
      <c r="H51" s="226">
        <v>97903</v>
      </c>
      <c r="I51" s="226">
        <f>+H51+(4850*8)</f>
        <v>136703</v>
      </c>
      <c r="J51" s="226" t="e">
        <f>SUM('Personnel Sched - Gen Admin'!I16+'Budget Req - Gen Admin'!#REF!)</f>
        <v>#REF!</v>
      </c>
      <c r="K51" s="226">
        <v>176534</v>
      </c>
      <c r="L51" s="226">
        <v>121045.5</v>
      </c>
      <c r="M51" s="204">
        <v>176534</v>
      </c>
      <c r="N51" s="204">
        <f>176435+7320</f>
        <v>183755</v>
      </c>
    </row>
    <row r="52" spans="1:14" x14ac:dyDescent="0.25">
      <c r="A52" s="315">
        <v>510.03</v>
      </c>
      <c r="B52" s="316" t="s">
        <v>127</v>
      </c>
      <c r="C52" s="326">
        <v>3700</v>
      </c>
      <c r="D52" s="327">
        <v>3165</v>
      </c>
      <c r="E52" s="326">
        <v>4747</v>
      </c>
      <c r="F52" s="327">
        <v>24000</v>
      </c>
      <c r="G52" s="328">
        <v>23500</v>
      </c>
      <c r="H52" s="226">
        <v>42174</v>
      </c>
      <c r="I52" s="328">
        <v>42000</v>
      </c>
      <c r="J52" s="328" t="e">
        <f>SUM('Budget Req - Gen Admin'!#REF!)</f>
        <v>#REF!</v>
      </c>
      <c r="K52" s="328">
        <v>60000</v>
      </c>
      <c r="L52" s="328">
        <v>33820.959999999999</v>
      </c>
      <c r="M52" s="204">
        <f t="shared" ref="M52:M105" si="9">(L52/8)*12</f>
        <v>50731.44</v>
      </c>
      <c r="N52" s="204">
        <v>60000</v>
      </c>
    </row>
    <row r="53" spans="1:14" x14ac:dyDescent="0.25">
      <c r="A53" s="315">
        <v>510.04</v>
      </c>
      <c r="B53" s="316" t="s">
        <v>911</v>
      </c>
      <c r="C53" s="329">
        <v>2550</v>
      </c>
      <c r="D53" s="327">
        <v>3336</v>
      </c>
      <c r="E53" s="326">
        <v>5004</v>
      </c>
      <c r="F53" s="327">
        <v>3600</v>
      </c>
      <c r="G53" s="226">
        <v>3000</v>
      </c>
      <c r="H53" s="226">
        <v>2250</v>
      </c>
      <c r="I53" s="226">
        <v>3000</v>
      </c>
      <c r="J53" s="226" t="e">
        <f>SUM('Budget Req - Gen Admin'!#REF!)</f>
        <v>#REF!</v>
      </c>
      <c r="K53" s="226">
        <v>15600</v>
      </c>
      <c r="L53" s="226">
        <v>8400</v>
      </c>
      <c r="M53" s="204">
        <f t="shared" si="9"/>
        <v>12600</v>
      </c>
      <c r="N53" s="204">
        <v>15600</v>
      </c>
    </row>
    <row r="54" spans="1:14" x14ac:dyDescent="0.25">
      <c r="A54" s="315">
        <v>510.05</v>
      </c>
      <c r="B54" s="316" t="s">
        <v>129</v>
      </c>
      <c r="C54" s="326">
        <v>4800</v>
      </c>
      <c r="D54" s="327">
        <v>3695</v>
      </c>
      <c r="E54" s="326">
        <v>7390</v>
      </c>
      <c r="F54" s="327">
        <v>19497</v>
      </c>
      <c r="G54" s="226">
        <v>21632</v>
      </c>
      <c r="H54" s="226">
        <v>8800</v>
      </c>
      <c r="I54" s="226">
        <f>+H54+(1250*5)</f>
        <v>15050</v>
      </c>
      <c r="J54" s="226">
        <f>SUM('Budget Req - Gen Admin'!E21)</f>
        <v>0</v>
      </c>
      <c r="K54" s="226">
        <v>25843</v>
      </c>
      <c r="L54" s="226">
        <v>16000.03</v>
      </c>
      <c r="M54" s="204">
        <f t="shared" si="9"/>
        <v>24000.045000000002</v>
      </c>
      <c r="N54" s="204">
        <v>33625</v>
      </c>
    </row>
    <row r="55" spans="1:14" x14ac:dyDescent="0.25">
      <c r="A55" s="315">
        <v>510.06</v>
      </c>
      <c r="B55" s="316" t="s">
        <v>17</v>
      </c>
      <c r="C55" s="329">
        <v>2300</v>
      </c>
      <c r="D55" s="326">
        <v>2300</v>
      </c>
      <c r="E55" s="326">
        <v>2300</v>
      </c>
      <c r="F55" s="327">
        <v>10915.48</v>
      </c>
      <c r="G55" s="226">
        <v>14411</v>
      </c>
      <c r="H55" s="226">
        <v>8342</v>
      </c>
      <c r="I55" s="226">
        <f>+H55+4000</f>
        <v>12342</v>
      </c>
      <c r="J55" s="226" t="e">
        <f>SUM(J51*0.08)</f>
        <v>#REF!</v>
      </c>
      <c r="K55" s="226">
        <f>SUM(K51*0.08)</f>
        <v>14122.720000000001</v>
      </c>
      <c r="L55" s="226">
        <v>15236.1</v>
      </c>
      <c r="M55" s="204">
        <f t="shared" si="9"/>
        <v>22854.15</v>
      </c>
      <c r="N55" s="204">
        <f>N51*0.0765</f>
        <v>14057.2575</v>
      </c>
    </row>
    <row r="56" spans="1:14" x14ac:dyDescent="0.25">
      <c r="A56" s="315">
        <v>510.07</v>
      </c>
      <c r="B56" s="316" t="s">
        <v>130</v>
      </c>
      <c r="C56" s="329">
        <v>42100</v>
      </c>
      <c r="D56" s="326">
        <v>36480</v>
      </c>
      <c r="E56" s="329">
        <v>42100</v>
      </c>
      <c r="F56" s="327">
        <v>6064.16</v>
      </c>
      <c r="G56" s="226">
        <v>9588</v>
      </c>
      <c r="H56" s="226">
        <v>3780</v>
      </c>
      <c r="I56" s="226">
        <f>+I51*0.0502</f>
        <v>6862.4906000000001</v>
      </c>
      <c r="J56" s="226" t="e">
        <f>SUM(J51*0.0425)</f>
        <v>#REF!</v>
      </c>
      <c r="K56" s="226">
        <f>SUM(K51*0.0509)</f>
        <v>8985.5805999999993</v>
      </c>
      <c r="L56" s="226">
        <v>4538.01</v>
      </c>
      <c r="M56" s="204">
        <f t="shared" si="9"/>
        <v>6807.0150000000003</v>
      </c>
      <c r="N56" s="204">
        <f>N51*0.0464</f>
        <v>8526.232</v>
      </c>
    </row>
    <row r="57" spans="1:14" x14ac:dyDescent="0.25">
      <c r="A57" s="315">
        <v>510.08</v>
      </c>
      <c r="B57" s="316" t="s">
        <v>278</v>
      </c>
      <c r="C57" s="329"/>
      <c r="D57" s="326"/>
      <c r="E57" s="329"/>
      <c r="F57" s="327">
        <v>425</v>
      </c>
      <c r="G57" s="226">
        <v>520</v>
      </c>
      <c r="H57" s="226">
        <v>418</v>
      </c>
      <c r="I57" s="226">
        <v>520</v>
      </c>
      <c r="J57" s="226" t="e">
        <f>SUM('Budget Req - Gen Admin'!#REF!)</f>
        <v>#REF!</v>
      </c>
      <c r="K57" s="226">
        <v>537</v>
      </c>
      <c r="L57" s="226">
        <v>536.22</v>
      </c>
      <c r="M57" s="204">
        <f t="shared" si="9"/>
        <v>804.33</v>
      </c>
      <c r="N57" s="226">
        <v>1000</v>
      </c>
    </row>
    <row r="58" spans="1:14" x14ac:dyDescent="0.25">
      <c r="A58" s="316">
        <v>510.11</v>
      </c>
      <c r="B58" s="316" t="s">
        <v>148</v>
      </c>
      <c r="C58" s="329"/>
      <c r="D58" s="326"/>
      <c r="E58" s="329"/>
      <c r="F58" s="327">
        <v>5000</v>
      </c>
      <c r="G58" s="226">
        <v>2000</v>
      </c>
      <c r="H58" s="226">
        <v>300</v>
      </c>
      <c r="I58" s="226">
        <v>1000</v>
      </c>
      <c r="J58" s="226">
        <f>SUM('Budget Req - Gen Admin'!E25)</f>
        <v>2000</v>
      </c>
      <c r="K58" s="226">
        <v>2000</v>
      </c>
      <c r="L58" s="226">
        <v>2200</v>
      </c>
      <c r="M58" s="204">
        <f t="shared" si="9"/>
        <v>3300</v>
      </c>
      <c r="N58" s="204">
        <v>2000</v>
      </c>
    </row>
    <row r="59" spans="1:14" x14ac:dyDescent="0.25">
      <c r="A59" s="228">
        <v>510.12</v>
      </c>
      <c r="B59" s="228" t="s">
        <v>429</v>
      </c>
      <c r="C59" s="264"/>
      <c r="D59" s="220"/>
      <c r="E59" s="264"/>
      <c r="F59" s="185">
        <v>0</v>
      </c>
      <c r="G59" s="227">
        <v>3900</v>
      </c>
      <c r="H59" s="227">
        <v>0</v>
      </c>
      <c r="I59" s="227">
        <f>150*19</f>
        <v>2850</v>
      </c>
      <c r="J59" s="227">
        <f>SUM('Budget Req - Gen Admin'!E26)</f>
        <v>600</v>
      </c>
      <c r="K59" s="227">
        <v>600</v>
      </c>
      <c r="L59" s="227">
        <v>150</v>
      </c>
      <c r="M59" s="204">
        <f t="shared" si="9"/>
        <v>225</v>
      </c>
      <c r="N59" s="204">
        <v>750</v>
      </c>
    </row>
    <row r="60" spans="1:14" x14ac:dyDescent="0.25">
      <c r="A60" s="320" t="s">
        <v>131</v>
      </c>
      <c r="B60" s="321"/>
      <c r="C60" s="331"/>
      <c r="D60" s="158"/>
      <c r="E60" s="331"/>
      <c r="F60" s="167">
        <f t="shared" ref="F60:L60" si="10">SUM(F51:F59)</f>
        <v>212187.64</v>
      </c>
      <c r="G60" s="318">
        <f t="shared" si="10"/>
        <v>220404</v>
      </c>
      <c r="H60" s="318">
        <f t="shared" si="10"/>
        <v>163967</v>
      </c>
      <c r="I60" s="318">
        <f t="shared" si="10"/>
        <v>220327.49059999999</v>
      </c>
      <c r="J60" s="318" t="e">
        <f t="shared" si="10"/>
        <v>#REF!</v>
      </c>
      <c r="K60" s="318">
        <f t="shared" si="10"/>
        <v>304222.30059999996</v>
      </c>
      <c r="L60" s="318">
        <f t="shared" si="10"/>
        <v>201926.82</v>
      </c>
      <c r="M60" s="136">
        <f t="shared" si="9"/>
        <v>302890.23</v>
      </c>
      <c r="N60" s="136">
        <f>SUM(N51:N59)</f>
        <v>319313.48950000003</v>
      </c>
    </row>
    <row r="61" spans="1:14" x14ac:dyDescent="0.25">
      <c r="A61" s="315">
        <v>520.01</v>
      </c>
      <c r="B61" s="316" t="s">
        <v>133</v>
      </c>
      <c r="C61" s="326">
        <v>10000</v>
      </c>
      <c r="D61" s="327">
        <v>5400</v>
      </c>
      <c r="E61" s="326">
        <v>8100</v>
      </c>
      <c r="F61" s="327">
        <v>4600</v>
      </c>
      <c r="G61" s="226">
        <v>2000</v>
      </c>
      <c r="H61" s="226">
        <v>2510</v>
      </c>
      <c r="I61" s="226">
        <v>2600</v>
      </c>
      <c r="J61" s="226">
        <v>5000</v>
      </c>
      <c r="K61" s="226">
        <v>5000</v>
      </c>
      <c r="L61" s="226">
        <v>3927.75</v>
      </c>
      <c r="M61" s="204">
        <f t="shared" si="9"/>
        <v>5891.625</v>
      </c>
      <c r="N61" s="204">
        <v>7500</v>
      </c>
    </row>
    <row r="62" spans="1:14" x14ac:dyDescent="0.25">
      <c r="A62" s="315">
        <v>520.02</v>
      </c>
      <c r="B62" s="316" t="s">
        <v>166</v>
      </c>
      <c r="C62" s="326"/>
      <c r="D62" s="327"/>
      <c r="E62" s="326"/>
      <c r="F62" s="327">
        <v>1000</v>
      </c>
      <c r="G62" s="226">
        <v>1400</v>
      </c>
      <c r="H62" s="226">
        <v>649</v>
      </c>
      <c r="I62" s="226">
        <v>1400</v>
      </c>
      <c r="J62" s="226">
        <v>3000</v>
      </c>
      <c r="K62" s="226">
        <v>3000</v>
      </c>
      <c r="L62" s="226">
        <v>1085.4000000000001</v>
      </c>
      <c r="M62" s="204">
        <f t="shared" si="9"/>
        <v>1628.1000000000001</v>
      </c>
      <c r="N62" s="204">
        <v>3000</v>
      </c>
    </row>
    <row r="63" spans="1:14" x14ac:dyDescent="0.25">
      <c r="A63" s="315">
        <v>520.03</v>
      </c>
      <c r="B63" s="316" t="s">
        <v>134</v>
      </c>
      <c r="C63" s="326">
        <v>7000</v>
      </c>
      <c r="D63" s="327">
        <v>4122</v>
      </c>
      <c r="E63" s="326">
        <v>6183</v>
      </c>
      <c r="F63" s="327">
        <v>1400</v>
      </c>
      <c r="G63" s="226">
        <v>600</v>
      </c>
      <c r="H63" s="226">
        <v>374</v>
      </c>
      <c r="I63" s="226">
        <v>600</v>
      </c>
      <c r="J63" s="226">
        <v>600</v>
      </c>
      <c r="K63" s="226">
        <v>1500</v>
      </c>
      <c r="L63" s="226">
        <v>623.70000000000005</v>
      </c>
      <c r="M63" s="204">
        <f t="shared" si="9"/>
        <v>935.55000000000007</v>
      </c>
      <c r="N63" s="204">
        <v>1500</v>
      </c>
    </row>
    <row r="64" spans="1:14" x14ac:dyDescent="0.25">
      <c r="A64" s="315">
        <v>520.04</v>
      </c>
      <c r="B64" s="316" t="s">
        <v>840</v>
      </c>
      <c r="C64" s="326">
        <v>16000</v>
      </c>
      <c r="D64" s="327">
        <v>11635</v>
      </c>
      <c r="E64" s="326">
        <v>17450</v>
      </c>
      <c r="F64" s="327">
        <v>0</v>
      </c>
      <c r="G64" s="226">
        <v>150</v>
      </c>
      <c r="H64" s="226">
        <v>0</v>
      </c>
      <c r="I64" s="226">
        <v>150</v>
      </c>
      <c r="J64" s="226">
        <v>300</v>
      </c>
      <c r="K64" s="226">
        <v>0</v>
      </c>
      <c r="L64" s="226">
        <v>0</v>
      </c>
      <c r="M64" s="204">
        <v>0</v>
      </c>
      <c r="N64" s="204">
        <v>1500</v>
      </c>
    </row>
    <row r="65" spans="1:14" x14ac:dyDescent="0.25">
      <c r="A65" s="315">
        <v>520.05999999999995</v>
      </c>
      <c r="B65" s="316" t="s">
        <v>199</v>
      </c>
      <c r="C65" s="326"/>
      <c r="D65" s="327"/>
      <c r="E65" s="326"/>
      <c r="F65" s="327"/>
      <c r="G65" s="226"/>
      <c r="H65" s="226"/>
      <c r="I65" s="226"/>
      <c r="J65" s="226"/>
      <c r="K65" s="226">
        <v>0</v>
      </c>
      <c r="L65" s="226">
        <v>0</v>
      </c>
      <c r="M65" s="204">
        <v>0</v>
      </c>
      <c r="N65" s="204">
        <v>1500</v>
      </c>
    </row>
    <row r="66" spans="1:14" x14ac:dyDescent="0.25">
      <c r="A66" s="315">
        <v>520.08000000000004</v>
      </c>
      <c r="B66" s="316" t="s">
        <v>135</v>
      </c>
      <c r="C66" s="326">
        <v>9500</v>
      </c>
      <c r="D66" s="327">
        <v>4181</v>
      </c>
      <c r="E66" s="329">
        <v>6271</v>
      </c>
      <c r="F66" s="327">
        <v>3200</v>
      </c>
      <c r="G66" s="226">
        <v>4300</v>
      </c>
      <c r="H66" s="226">
        <v>2838</v>
      </c>
      <c r="I66" s="226">
        <v>5000</v>
      </c>
      <c r="J66" s="226">
        <v>5000</v>
      </c>
      <c r="K66" s="226">
        <v>5000</v>
      </c>
      <c r="L66" s="226">
        <v>0</v>
      </c>
      <c r="M66" s="204">
        <f t="shared" si="9"/>
        <v>0</v>
      </c>
      <c r="N66" s="204">
        <v>6000</v>
      </c>
    </row>
    <row r="67" spans="1:14" x14ac:dyDescent="0.25">
      <c r="A67" s="315">
        <v>520.1</v>
      </c>
      <c r="B67" s="316" t="s">
        <v>673</v>
      </c>
      <c r="C67" s="326">
        <v>7650</v>
      </c>
      <c r="D67" s="327">
        <v>6074</v>
      </c>
      <c r="E67" s="329">
        <v>7650</v>
      </c>
      <c r="F67" s="327">
        <v>3000</v>
      </c>
      <c r="G67" s="226">
        <v>500</v>
      </c>
      <c r="H67" s="226">
        <v>323</v>
      </c>
      <c r="I67" s="226">
        <v>500</v>
      </c>
      <c r="J67" s="226">
        <v>700</v>
      </c>
      <c r="K67" s="226">
        <v>700</v>
      </c>
      <c r="L67" s="226">
        <v>777.24</v>
      </c>
      <c r="M67" s="204">
        <f t="shared" si="9"/>
        <v>1165.8600000000001</v>
      </c>
      <c r="N67" s="204">
        <v>1000</v>
      </c>
    </row>
    <row r="68" spans="1:14" x14ac:dyDescent="0.25">
      <c r="A68" s="236">
        <v>520.11</v>
      </c>
      <c r="B68" s="168" t="s">
        <v>19</v>
      </c>
      <c r="C68" s="220"/>
      <c r="D68" s="185"/>
      <c r="E68" s="264"/>
      <c r="F68" s="185"/>
      <c r="G68" s="201">
        <v>200</v>
      </c>
      <c r="H68" s="201">
        <v>119</v>
      </c>
      <c r="I68" s="201">
        <v>200</v>
      </c>
      <c r="J68" s="201">
        <v>500</v>
      </c>
      <c r="K68" s="201">
        <v>500</v>
      </c>
      <c r="L68" s="201">
        <v>151.65</v>
      </c>
      <c r="M68" s="204">
        <f t="shared" si="9"/>
        <v>227.47500000000002</v>
      </c>
      <c r="N68" s="204">
        <v>1000</v>
      </c>
    </row>
    <row r="69" spans="1:14" x14ac:dyDescent="0.25">
      <c r="A69" s="320" t="s">
        <v>137</v>
      </c>
      <c r="B69" s="321"/>
      <c r="C69" s="332"/>
      <c r="D69" s="163"/>
      <c r="E69" s="333"/>
      <c r="F69" s="163">
        <f>SUM(F61:F67)</f>
        <v>13200</v>
      </c>
      <c r="G69" s="318">
        <f t="shared" ref="G69:L69" si="11">SUM(G61:G68)</f>
        <v>9150</v>
      </c>
      <c r="H69" s="318">
        <f t="shared" si="11"/>
        <v>6813</v>
      </c>
      <c r="I69" s="318">
        <f t="shared" si="11"/>
        <v>10450</v>
      </c>
      <c r="J69" s="318">
        <f t="shared" si="11"/>
        <v>15100</v>
      </c>
      <c r="K69" s="334">
        <f t="shared" si="11"/>
        <v>15700</v>
      </c>
      <c r="L69" s="334">
        <f t="shared" si="11"/>
        <v>6565.7399999999989</v>
      </c>
      <c r="M69" s="136">
        <f t="shared" si="9"/>
        <v>9848.6099999999988</v>
      </c>
      <c r="N69" s="136">
        <f>SUM(N61:N68)</f>
        <v>23000</v>
      </c>
    </row>
    <row r="70" spans="1:14" s="254" customFormat="1" x14ac:dyDescent="0.25">
      <c r="A70" s="315">
        <v>530.01</v>
      </c>
      <c r="B70" s="316" t="s">
        <v>139</v>
      </c>
      <c r="C70" s="310">
        <v>3500</v>
      </c>
      <c r="D70" s="311">
        <v>1321</v>
      </c>
      <c r="E70" s="310">
        <v>2000</v>
      </c>
      <c r="F70" s="311">
        <v>3800</v>
      </c>
      <c r="G70" s="226">
        <v>5300</v>
      </c>
      <c r="H70" s="226">
        <v>6413</v>
      </c>
      <c r="I70" s="226">
        <f>8508+3300</f>
        <v>11808</v>
      </c>
      <c r="J70" s="226" t="e">
        <f>SUM('Budget Req - Gen Admin'!#REF!)</f>
        <v>#REF!</v>
      </c>
      <c r="K70" s="226">
        <v>15700</v>
      </c>
      <c r="L70" s="226">
        <v>22298.71</v>
      </c>
      <c r="M70" s="204">
        <f t="shared" si="9"/>
        <v>33448.065000000002</v>
      </c>
      <c r="N70" s="204">
        <v>15700</v>
      </c>
    </row>
    <row r="71" spans="1:14" s="249" customFormat="1" x14ac:dyDescent="0.25">
      <c r="A71" s="315">
        <v>530.02</v>
      </c>
      <c r="B71" s="316" t="s">
        <v>58</v>
      </c>
      <c r="C71" s="310">
        <v>16500</v>
      </c>
      <c r="D71" s="311">
        <v>11896</v>
      </c>
      <c r="E71" s="310">
        <v>17844</v>
      </c>
      <c r="F71" s="311">
        <v>3192</v>
      </c>
      <c r="G71" s="226">
        <v>2292</v>
      </c>
      <c r="H71" s="330">
        <v>1471</v>
      </c>
      <c r="I71" s="226">
        <v>2300</v>
      </c>
      <c r="J71" s="226" t="e">
        <f>SUM('Budget Req - Gen Admin'!#REF!)</f>
        <v>#REF!</v>
      </c>
      <c r="K71" s="226">
        <v>3792</v>
      </c>
      <c r="L71" s="226">
        <v>2593.84</v>
      </c>
      <c r="M71" s="204">
        <f t="shared" si="9"/>
        <v>3890.76</v>
      </c>
      <c r="N71" s="204">
        <v>3792</v>
      </c>
    </row>
    <row r="72" spans="1:14" s="249" customFormat="1" x14ac:dyDescent="0.25">
      <c r="A72" s="315">
        <v>530.03</v>
      </c>
      <c r="B72" s="316" t="s">
        <v>475</v>
      </c>
      <c r="C72" s="310">
        <v>5000</v>
      </c>
      <c r="D72" s="311">
        <v>1872</v>
      </c>
      <c r="E72" s="310">
        <v>2808</v>
      </c>
      <c r="F72" s="311">
        <v>33000</v>
      </c>
      <c r="G72" s="226">
        <v>24750</v>
      </c>
      <c r="H72" s="330">
        <v>18956</v>
      </c>
      <c r="I72" s="226">
        <f>+H72+6000</f>
        <v>24956</v>
      </c>
      <c r="J72" s="226">
        <f>SUM('Budget Req - Gen Admin'!E41)</f>
        <v>1000</v>
      </c>
      <c r="K72" s="226">
        <v>22120</v>
      </c>
      <c r="L72" s="226">
        <v>17070.47</v>
      </c>
      <c r="M72" s="204">
        <f t="shared" si="9"/>
        <v>25605.705000000002</v>
      </c>
      <c r="N72" s="204">
        <v>25000</v>
      </c>
    </row>
    <row r="73" spans="1:14" x14ac:dyDescent="0.25">
      <c r="A73" s="315">
        <v>530.04999999999995</v>
      </c>
      <c r="B73" s="316" t="s">
        <v>18</v>
      </c>
      <c r="C73" s="310">
        <v>1500</v>
      </c>
      <c r="D73" s="311">
        <v>0</v>
      </c>
      <c r="E73" s="310">
        <v>0</v>
      </c>
      <c r="F73" s="311">
        <v>1000</v>
      </c>
      <c r="G73" s="226">
        <v>600</v>
      </c>
      <c r="H73" s="226">
        <v>975</v>
      </c>
      <c r="I73" s="226">
        <v>1000</v>
      </c>
      <c r="J73" s="226">
        <v>1100</v>
      </c>
      <c r="K73" s="226">
        <v>1100</v>
      </c>
      <c r="L73" s="226">
        <v>0</v>
      </c>
      <c r="M73" s="226">
        <f t="shared" si="9"/>
        <v>0</v>
      </c>
      <c r="N73" s="226">
        <v>1500</v>
      </c>
    </row>
    <row r="74" spans="1:14" x14ac:dyDescent="0.25">
      <c r="A74" s="315">
        <v>530.05999999999995</v>
      </c>
      <c r="B74" s="316" t="s">
        <v>141</v>
      </c>
      <c r="C74" s="310">
        <v>2400</v>
      </c>
      <c r="D74" s="311">
        <v>2610</v>
      </c>
      <c r="E74" s="310">
        <v>3915</v>
      </c>
      <c r="F74" s="311">
        <v>240</v>
      </c>
      <c r="G74" s="226">
        <v>500</v>
      </c>
      <c r="H74" s="226">
        <v>431</v>
      </c>
      <c r="I74" s="226">
        <v>500</v>
      </c>
      <c r="J74" s="226">
        <v>1000</v>
      </c>
      <c r="K74" s="226">
        <v>1000</v>
      </c>
      <c r="L74" s="226">
        <v>0</v>
      </c>
      <c r="M74" s="226">
        <f t="shared" si="9"/>
        <v>0</v>
      </c>
      <c r="N74" s="226">
        <v>1000</v>
      </c>
    </row>
    <row r="75" spans="1:14" s="263" customFormat="1" x14ac:dyDescent="0.25">
      <c r="A75" s="315">
        <v>530.11</v>
      </c>
      <c r="B75" s="316" t="s">
        <v>2</v>
      </c>
      <c r="C75" s="310">
        <v>0</v>
      </c>
      <c r="D75" s="311">
        <v>0</v>
      </c>
      <c r="E75" s="310">
        <v>0</v>
      </c>
      <c r="F75" s="311">
        <v>13000</v>
      </c>
      <c r="G75" s="226">
        <v>9500</v>
      </c>
      <c r="H75" s="226">
        <v>5189</v>
      </c>
      <c r="I75" s="226">
        <f>5885+3000+15</f>
        <v>8900</v>
      </c>
      <c r="J75" s="226">
        <f>SUM('Budget Req - Gen Admin'!E42)</f>
        <v>11000</v>
      </c>
      <c r="K75" s="226">
        <v>11000</v>
      </c>
      <c r="L75" s="226">
        <v>5005.07</v>
      </c>
      <c r="M75" s="226">
        <f t="shared" si="9"/>
        <v>7507.6049999999996</v>
      </c>
      <c r="N75" s="226">
        <v>11000</v>
      </c>
    </row>
    <row r="76" spans="1:14" ht="18.75" thickBot="1" x14ac:dyDescent="0.3">
      <c r="A76" s="236">
        <v>530.13</v>
      </c>
      <c r="B76" s="168" t="s">
        <v>143</v>
      </c>
      <c r="C76" s="220">
        <v>7950</v>
      </c>
      <c r="D76" s="280">
        <v>9500</v>
      </c>
      <c r="E76" s="220">
        <v>14250</v>
      </c>
      <c r="F76" s="185">
        <v>14500</v>
      </c>
      <c r="G76" s="201">
        <v>16000</v>
      </c>
      <c r="H76" s="201">
        <v>15884</v>
      </c>
      <c r="I76" s="201">
        <f>+H76+(4*1175)</f>
        <v>20584</v>
      </c>
      <c r="J76" s="201">
        <f>SUM('Budget Req - Gen Admin'!E57)</f>
        <v>0</v>
      </c>
      <c r="K76" s="201">
        <v>30000</v>
      </c>
      <c r="L76" s="201">
        <v>20620.810000000001</v>
      </c>
      <c r="M76" s="226">
        <f t="shared" si="9"/>
        <v>30931.215000000004</v>
      </c>
      <c r="N76" s="226">
        <v>30000</v>
      </c>
    </row>
    <row r="77" spans="1:14" ht="18.75" thickBot="1" x14ac:dyDescent="0.3">
      <c r="A77" s="572" t="s">
        <v>138</v>
      </c>
      <c r="B77" s="165"/>
      <c r="C77" s="338"/>
      <c r="D77" s="407"/>
      <c r="E77" s="338"/>
      <c r="F77" s="339">
        <f t="shared" ref="F77:L77" si="12">SUM(F70:F76)</f>
        <v>68732</v>
      </c>
      <c r="G77" s="288">
        <f t="shared" si="12"/>
        <v>58942</v>
      </c>
      <c r="H77" s="288">
        <f t="shared" si="12"/>
        <v>49319</v>
      </c>
      <c r="I77" s="288">
        <f t="shared" si="12"/>
        <v>70048</v>
      </c>
      <c r="J77" s="573" t="e">
        <f t="shared" si="12"/>
        <v>#REF!</v>
      </c>
      <c r="K77" s="151">
        <f t="shared" si="12"/>
        <v>84712</v>
      </c>
      <c r="L77" s="151">
        <f t="shared" si="12"/>
        <v>67588.900000000009</v>
      </c>
      <c r="M77" s="104">
        <f t="shared" si="9"/>
        <v>101383.35</v>
      </c>
      <c r="N77" s="104">
        <f>SUM(N70:N76)</f>
        <v>87992</v>
      </c>
    </row>
    <row r="78" spans="1:14" s="242" customFormat="1" x14ac:dyDescent="0.25">
      <c r="A78" s="235">
        <v>540.01</v>
      </c>
      <c r="B78" s="228" t="s">
        <v>144</v>
      </c>
      <c r="C78" s="310">
        <v>24110</v>
      </c>
      <c r="D78" s="311">
        <v>2774</v>
      </c>
      <c r="E78" s="310">
        <v>4162</v>
      </c>
      <c r="F78" s="311">
        <v>4000</v>
      </c>
      <c r="G78" s="226">
        <v>2000</v>
      </c>
      <c r="H78" s="226">
        <v>8841</v>
      </c>
      <c r="I78" s="226">
        <v>9000</v>
      </c>
      <c r="J78" s="226">
        <f>SUM('Budget Req - Gen Admin'!E62)</f>
        <v>200</v>
      </c>
      <c r="K78" s="227">
        <v>103000</v>
      </c>
      <c r="L78" s="227">
        <v>4682.22</v>
      </c>
      <c r="M78" s="227">
        <f t="shared" si="9"/>
        <v>7023.33</v>
      </c>
      <c r="N78" s="227">
        <v>60000</v>
      </c>
    </row>
    <row r="79" spans="1:14" x14ac:dyDescent="0.25">
      <c r="A79" s="320" t="s">
        <v>145</v>
      </c>
      <c r="B79" s="321"/>
      <c r="C79" s="158"/>
      <c r="D79" s="167"/>
      <c r="E79" s="158"/>
      <c r="F79" s="167">
        <f>SUM(F78)</f>
        <v>4000</v>
      </c>
      <c r="G79" s="318">
        <f>SUM(G78:G78)</f>
        <v>2000</v>
      </c>
      <c r="H79" s="318">
        <f>SUM(H78:H78)</f>
        <v>8841</v>
      </c>
      <c r="I79" s="318">
        <f>SUM(I78)</f>
        <v>9000</v>
      </c>
      <c r="J79" s="318">
        <f>SUM(J78)</f>
        <v>200</v>
      </c>
      <c r="K79" s="318">
        <f>SUM(K78:K78)</f>
        <v>103000</v>
      </c>
      <c r="L79" s="318">
        <f>SUM(L78:L78)</f>
        <v>4682.22</v>
      </c>
      <c r="M79" s="136">
        <f t="shared" si="9"/>
        <v>7023.33</v>
      </c>
      <c r="N79" s="288">
        <f>SUM(N78)</f>
        <v>60000</v>
      </c>
    </row>
    <row r="80" spans="1:14" s="242" customFormat="1" x14ac:dyDescent="0.25">
      <c r="A80" s="315">
        <v>550.01</v>
      </c>
      <c r="B80" s="316" t="s">
        <v>173</v>
      </c>
      <c r="C80" s="310"/>
      <c r="D80" s="311"/>
      <c r="E80" s="310"/>
      <c r="F80" s="311">
        <v>0</v>
      </c>
      <c r="G80" s="226">
        <v>200</v>
      </c>
      <c r="H80" s="226">
        <v>168</v>
      </c>
      <c r="I80" s="226">
        <v>200</v>
      </c>
      <c r="J80" s="226">
        <v>1000</v>
      </c>
      <c r="K80" s="226">
        <v>1000</v>
      </c>
      <c r="L80" s="226">
        <v>152.72</v>
      </c>
      <c r="M80" s="204">
        <f t="shared" si="9"/>
        <v>229.07999999999998</v>
      </c>
      <c r="N80" s="204">
        <v>1000</v>
      </c>
    </row>
    <row r="81" spans="1:14" x14ac:dyDescent="0.25">
      <c r="A81" s="315">
        <v>550.02</v>
      </c>
      <c r="B81" s="316" t="s">
        <v>147</v>
      </c>
      <c r="C81" s="310">
        <v>8000</v>
      </c>
      <c r="D81" s="311">
        <v>0</v>
      </c>
      <c r="E81" s="310">
        <v>0</v>
      </c>
      <c r="F81" s="311">
        <v>200</v>
      </c>
      <c r="G81" s="226">
        <v>200</v>
      </c>
      <c r="H81" s="226">
        <v>0</v>
      </c>
      <c r="I81" s="226">
        <v>200</v>
      </c>
      <c r="J81" s="226">
        <v>200</v>
      </c>
      <c r="K81" s="226">
        <v>200</v>
      </c>
      <c r="L81" s="226">
        <v>421.75</v>
      </c>
      <c r="M81" s="204">
        <f t="shared" si="9"/>
        <v>632.625</v>
      </c>
      <c r="N81" s="204">
        <v>200</v>
      </c>
    </row>
    <row r="82" spans="1:14" x14ac:dyDescent="0.25">
      <c r="A82" s="236">
        <v>550.05999999999995</v>
      </c>
      <c r="B82" s="168" t="s">
        <v>569</v>
      </c>
      <c r="C82" s="220"/>
      <c r="D82" s="185"/>
      <c r="E82" s="220"/>
      <c r="F82" s="185"/>
      <c r="G82" s="201">
        <v>3500</v>
      </c>
      <c r="H82" s="201">
        <v>140</v>
      </c>
      <c r="I82" s="201">
        <v>2140</v>
      </c>
      <c r="J82" s="201">
        <v>2000</v>
      </c>
      <c r="K82" s="201">
        <v>2000</v>
      </c>
      <c r="L82" s="201">
        <v>0</v>
      </c>
      <c r="M82" s="204">
        <f t="shared" si="9"/>
        <v>0</v>
      </c>
      <c r="N82" s="204">
        <v>2000</v>
      </c>
    </row>
    <row r="83" spans="1:14" x14ac:dyDescent="0.25">
      <c r="A83" s="336" t="s">
        <v>146</v>
      </c>
      <c r="B83" s="337"/>
      <c r="C83" s="338"/>
      <c r="D83" s="339"/>
      <c r="E83" s="338"/>
      <c r="F83" s="339">
        <f>SUM(F81)</f>
        <v>200</v>
      </c>
      <c r="G83" s="288">
        <f t="shared" ref="G83:L83" si="13">SUM(G80:G82)</f>
        <v>3900</v>
      </c>
      <c r="H83" s="288">
        <f t="shared" si="13"/>
        <v>308</v>
      </c>
      <c r="I83" s="288">
        <f t="shared" si="13"/>
        <v>2540</v>
      </c>
      <c r="J83" s="288">
        <f t="shared" si="13"/>
        <v>3200</v>
      </c>
      <c r="K83" s="288">
        <f t="shared" si="13"/>
        <v>3200</v>
      </c>
      <c r="L83" s="288">
        <f t="shared" si="13"/>
        <v>574.47</v>
      </c>
      <c r="M83" s="136">
        <f t="shared" si="9"/>
        <v>861.70500000000004</v>
      </c>
      <c r="N83" s="136">
        <f>SUM(N80:N82)</f>
        <v>3200</v>
      </c>
    </row>
    <row r="84" spans="1:14" x14ac:dyDescent="0.25">
      <c r="A84" s="315">
        <v>560.02</v>
      </c>
      <c r="B84" s="316" t="s">
        <v>150</v>
      </c>
      <c r="C84" s="310"/>
      <c r="D84" s="311"/>
      <c r="E84" s="310"/>
      <c r="F84" s="311"/>
      <c r="G84" s="226"/>
      <c r="H84" s="226"/>
      <c r="I84" s="226"/>
      <c r="J84" s="226"/>
      <c r="K84" s="226">
        <v>0</v>
      </c>
      <c r="L84" s="226">
        <v>1809</v>
      </c>
      <c r="M84" s="204">
        <f t="shared" si="9"/>
        <v>2713.5</v>
      </c>
      <c r="N84" s="204">
        <v>2500</v>
      </c>
    </row>
    <row r="85" spans="1:14" x14ac:dyDescent="0.25">
      <c r="A85" s="315">
        <v>560.04999999999995</v>
      </c>
      <c r="B85" s="316" t="s">
        <v>152</v>
      </c>
      <c r="C85" s="310">
        <v>2000</v>
      </c>
      <c r="D85" s="311">
        <v>1246</v>
      </c>
      <c r="E85" s="310">
        <v>1869</v>
      </c>
      <c r="F85" s="311">
        <v>1500</v>
      </c>
      <c r="G85" s="226">
        <v>4500</v>
      </c>
      <c r="H85" s="226">
        <v>3764</v>
      </c>
      <c r="I85" s="226">
        <v>4500</v>
      </c>
      <c r="J85" s="226">
        <v>4500</v>
      </c>
      <c r="K85" s="226">
        <v>4500</v>
      </c>
      <c r="L85" s="226">
        <v>4286.01</v>
      </c>
      <c r="M85" s="204">
        <f t="shared" si="9"/>
        <v>6429.0150000000003</v>
      </c>
      <c r="N85" s="204">
        <v>4500</v>
      </c>
    </row>
    <row r="86" spans="1:14" x14ac:dyDescent="0.25">
      <c r="A86" s="315">
        <v>560.1</v>
      </c>
      <c r="B86" s="316" t="s">
        <v>151</v>
      </c>
      <c r="C86" s="310"/>
      <c r="D86" s="311"/>
      <c r="E86" s="310"/>
      <c r="F86" s="311">
        <v>2500</v>
      </c>
      <c r="G86" s="226">
        <v>1300</v>
      </c>
      <c r="H86" s="226">
        <v>560</v>
      </c>
      <c r="I86" s="226">
        <v>1300</v>
      </c>
      <c r="J86" s="226">
        <f>SUM('Budget Req - Gen Admin'!E73)</f>
        <v>1300</v>
      </c>
      <c r="K86" s="226">
        <v>1300</v>
      </c>
      <c r="L86" s="226">
        <v>245</v>
      </c>
      <c r="M86" s="204">
        <f t="shared" si="9"/>
        <v>367.5</v>
      </c>
      <c r="N86" s="204">
        <v>2300</v>
      </c>
    </row>
    <row r="87" spans="1:14" x14ac:dyDescent="0.25">
      <c r="A87" s="236">
        <v>560.11</v>
      </c>
      <c r="B87" s="168" t="s">
        <v>543</v>
      </c>
      <c r="C87" s="220"/>
      <c r="D87" s="185"/>
      <c r="E87" s="220"/>
      <c r="F87" s="185">
        <v>2500</v>
      </c>
      <c r="G87" s="227">
        <v>1300</v>
      </c>
      <c r="H87" s="227">
        <v>871</v>
      </c>
      <c r="I87" s="227">
        <v>1300</v>
      </c>
      <c r="J87" s="227">
        <v>1800</v>
      </c>
      <c r="K87" s="227">
        <v>1800</v>
      </c>
      <c r="L87" s="227">
        <v>522.22</v>
      </c>
      <c r="M87" s="204">
        <f t="shared" si="9"/>
        <v>783.33</v>
      </c>
      <c r="N87" s="204">
        <v>1800</v>
      </c>
    </row>
    <row r="88" spans="1:14" x14ac:dyDescent="0.25">
      <c r="A88" s="320" t="s">
        <v>149</v>
      </c>
      <c r="B88" s="321"/>
      <c r="C88" s="158"/>
      <c r="D88" s="167"/>
      <c r="E88" s="158"/>
      <c r="F88" s="167">
        <f>SUM(F85:F87)</f>
        <v>6500</v>
      </c>
      <c r="G88" s="318">
        <f>SUM(G85:G87)</f>
        <v>7100</v>
      </c>
      <c r="H88" s="318">
        <f>SUM(H85:H87)</f>
        <v>5195</v>
      </c>
      <c r="I88" s="318">
        <f>SUM(I85:I87)</f>
        <v>7100</v>
      </c>
      <c r="J88" s="318">
        <f>SUM(J85:J87)</f>
        <v>7600</v>
      </c>
      <c r="K88" s="318">
        <f>SUM(K84:K87)</f>
        <v>7600</v>
      </c>
      <c r="L88" s="318">
        <f>SUM(L84:L87)</f>
        <v>6862.2300000000005</v>
      </c>
      <c r="M88" s="136">
        <f t="shared" si="9"/>
        <v>10293.345000000001</v>
      </c>
      <c r="N88" s="136">
        <f>SUM(N84:N87)</f>
        <v>11100</v>
      </c>
    </row>
    <row r="89" spans="1:14" x14ac:dyDescent="0.25">
      <c r="A89" s="315">
        <v>580.09</v>
      </c>
      <c r="B89" s="316" t="s">
        <v>154</v>
      </c>
      <c r="C89" s="310">
        <v>461446</v>
      </c>
      <c r="D89" s="311">
        <v>276462</v>
      </c>
      <c r="E89" s="310">
        <v>414693</v>
      </c>
      <c r="F89" s="311">
        <v>300</v>
      </c>
      <c r="G89" s="226">
        <v>300</v>
      </c>
      <c r="H89" s="226">
        <v>125</v>
      </c>
      <c r="I89" s="226">
        <v>300</v>
      </c>
      <c r="J89" s="226">
        <v>1000</v>
      </c>
      <c r="K89" s="226">
        <v>1000</v>
      </c>
      <c r="L89" s="226">
        <v>486.66</v>
      </c>
      <c r="M89" s="204">
        <f t="shared" si="9"/>
        <v>729.99</v>
      </c>
      <c r="N89" s="204">
        <v>1000</v>
      </c>
    </row>
    <row r="90" spans="1:14" x14ac:dyDescent="0.25">
      <c r="A90" s="390">
        <v>580.02</v>
      </c>
      <c r="B90" s="239" t="s">
        <v>869</v>
      </c>
      <c r="C90" s="247"/>
      <c r="D90" s="248"/>
      <c r="E90" s="247"/>
      <c r="F90" s="248"/>
      <c r="G90" s="229"/>
      <c r="H90" s="229"/>
      <c r="I90" s="229"/>
      <c r="J90" s="229"/>
      <c r="K90" s="229"/>
      <c r="L90" s="229"/>
      <c r="M90" s="204"/>
      <c r="N90" s="204">
        <v>10000</v>
      </c>
    </row>
    <row r="91" spans="1:14" x14ac:dyDescent="0.25">
      <c r="A91" s="320" t="s">
        <v>290</v>
      </c>
      <c r="B91" s="321"/>
      <c r="C91" s="158"/>
      <c r="D91" s="167"/>
      <c r="E91" s="158"/>
      <c r="F91" s="167">
        <f t="shared" ref="F91:L91" si="14">SUM(F89:F89)</f>
        <v>300</v>
      </c>
      <c r="G91" s="318">
        <f t="shared" si="14"/>
        <v>300</v>
      </c>
      <c r="H91" s="318">
        <f t="shared" si="14"/>
        <v>125</v>
      </c>
      <c r="I91" s="318">
        <f t="shared" si="14"/>
        <v>300</v>
      </c>
      <c r="J91" s="318">
        <f t="shared" si="14"/>
        <v>1000</v>
      </c>
      <c r="K91" s="318">
        <f t="shared" si="14"/>
        <v>1000</v>
      </c>
      <c r="L91" s="318">
        <f t="shared" si="14"/>
        <v>486.66</v>
      </c>
      <c r="M91" s="136">
        <f t="shared" si="9"/>
        <v>729.99</v>
      </c>
      <c r="N91" s="136">
        <f>SUM(N89:N90)</f>
        <v>11000</v>
      </c>
    </row>
    <row r="92" spans="1:14" x14ac:dyDescent="0.25">
      <c r="A92" s="315">
        <v>590.01</v>
      </c>
      <c r="B92" s="316" t="s">
        <v>288</v>
      </c>
      <c r="C92" s="310"/>
      <c r="D92" s="311"/>
      <c r="E92" s="310"/>
      <c r="F92" s="311">
        <v>2600</v>
      </c>
      <c r="G92" s="226">
        <v>500</v>
      </c>
      <c r="H92" s="226">
        <v>38</v>
      </c>
      <c r="I92" s="226">
        <v>500</v>
      </c>
      <c r="J92" s="226">
        <f>SUM('Budget Req - Gen Admin'!E79)</f>
        <v>1000</v>
      </c>
      <c r="K92" s="226">
        <v>1000</v>
      </c>
      <c r="L92" s="226">
        <v>2432</v>
      </c>
      <c r="M92" s="204">
        <f t="shared" si="9"/>
        <v>3648</v>
      </c>
      <c r="N92" s="204">
        <v>3000</v>
      </c>
    </row>
    <row r="93" spans="1:14" x14ac:dyDescent="0.25">
      <c r="A93" s="235">
        <v>590.02</v>
      </c>
      <c r="B93" s="228" t="s">
        <v>671</v>
      </c>
      <c r="C93" s="220">
        <v>155969</v>
      </c>
      <c r="D93" s="185">
        <v>155969</v>
      </c>
      <c r="E93" s="220">
        <v>155969</v>
      </c>
      <c r="F93" s="185">
        <v>0</v>
      </c>
      <c r="G93" s="227">
        <v>2450</v>
      </c>
      <c r="H93" s="227">
        <v>0</v>
      </c>
      <c r="I93" s="227">
        <v>2450</v>
      </c>
      <c r="J93" s="227" t="e">
        <f>SUM('Budget Req - Gen Admin'!#REF!)</f>
        <v>#REF!</v>
      </c>
      <c r="K93" s="227">
        <v>3500</v>
      </c>
      <c r="L93" s="227">
        <v>0</v>
      </c>
      <c r="M93" s="204">
        <f t="shared" si="9"/>
        <v>0</v>
      </c>
      <c r="N93" s="204">
        <v>3500</v>
      </c>
    </row>
    <row r="94" spans="1:14" x14ac:dyDescent="0.25">
      <c r="A94" s="320" t="s">
        <v>236</v>
      </c>
      <c r="B94" s="321"/>
      <c r="C94" s="158"/>
      <c r="D94" s="167"/>
      <c r="E94" s="158"/>
      <c r="F94" s="167">
        <f t="shared" ref="F94:L94" si="15">SUM(F92:F93)</f>
        <v>2600</v>
      </c>
      <c r="G94" s="318">
        <f t="shared" si="15"/>
        <v>2950</v>
      </c>
      <c r="H94" s="318">
        <f t="shared" si="15"/>
        <v>38</v>
      </c>
      <c r="I94" s="318">
        <f t="shared" si="15"/>
        <v>2950</v>
      </c>
      <c r="J94" s="318" t="e">
        <f t="shared" si="15"/>
        <v>#REF!</v>
      </c>
      <c r="K94" s="318">
        <f t="shared" si="15"/>
        <v>4500</v>
      </c>
      <c r="L94" s="318">
        <f t="shared" si="15"/>
        <v>2432</v>
      </c>
      <c r="M94" s="136">
        <f t="shared" si="9"/>
        <v>3648</v>
      </c>
      <c r="N94" s="136">
        <f>SUM(N92:N93)</f>
        <v>6500</v>
      </c>
    </row>
    <row r="95" spans="1:14" x14ac:dyDescent="0.25">
      <c r="A95" s="325" t="s">
        <v>155</v>
      </c>
      <c r="B95" s="316" t="s">
        <v>157</v>
      </c>
      <c r="C95" s="310">
        <v>4500</v>
      </c>
      <c r="D95" s="311">
        <v>2009</v>
      </c>
      <c r="E95" s="310">
        <v>3014</v>
      </c>
      <c r="F95" s="311">
        <v>163564</v>
      </c>
      <c r="G95" s="226">
        <v>201462</v>
      </c>
      <c r="H95" s="226">
        <v>147349</v>
      </c>
      <c r="I95" s="226">
        <v>201462</v>
      </c>
      <c r="J95" s="226">
        <f>SUM('Budget Req - Gen Admin'!E83)</f>
        <v>0</v>
      </c>
      <c r="K95" s="226">
        <v>201000</v>
      </c>
      <c r="L95" s="226">
        <v>134000</v>
      </c>
      <c r="M95" s="204">
        <f t="shared" si="9"/>
        <v>201000</v>
      </c>
      <c r="N95" s="204">
        <v>257000</v>
      </c>
    </row>
    <row r="96" spans="1:14" s="584" customFormat="1" x14ac:dyDescent="0.25">
      <c r="A96" s="315">
        <v>610.02</v>
      </c>
      <c r="B96" s="316" t="s">
        <v>158</v>
      </c>
      <c r="C96" s="310">
        <v>10000</v>
      </c>
      <c r="D96" s="310">
        <v>8484</v>
      </c>
      <c r="E96" s="310">
        <v>10000</v>
      </c>
      <c r="F96" s="311">
        <v>550000</v>
      </c>
      <c r="G96" s="226">
        <v>677000</v>
      </c>
      <c r="H96" s="226">
        <v>399007</v>
      </c>
      <c r="I96" s="226">
        <f>+H96+(57000*5)</f>
        <v>684007</v>
      </c>
      <c r="J96" s="226" t="e">
        <f>SUM('Budget Req - Gen Admin'!#REF!)</f>
        <v>#REF!</v>
      </c>
      <c r="K96" s="226">
        <v>684000</v>
      </c>
      <c r="L96" s="226">
        <v>434488.71</v>
      </c>
      <c r="M96" s="226">
        <f t="shared" si="9"/>
        <v>651733.06500000006</v>
      </c>
      <c r="N96" s="226">
        <v>684000</v>
      </c>
    </row>
    <row r="97" spans="1:14" x14ac:dyDescent="0.25">
      <c r="A97" s="315">
        <v>610.03</v>
      </c>
      <c r="B97" s="316" t="s">
        <v>15</v>
      </c>
      <c r="C97" s="310">
        <v>10000</v>
      </c>
      <c r="D97" s="311">
        <v>2937</v>
      </c>
      <c r="E97" s="310">
        <v>4405</v>
      </c>
      <c r="F97" s="311">
        <v>33000</v>
      </c>
      <c r="G97" s="226">
        <v>52224</v>
      </c>
      <c r="H97" s="226">
        <v>110928</v>
      </c>
      <c r="I97" s="226">
        <v>110928</v>
      </c>
      <c r="J97" s="226">
        <f>SUM('Budget Req - Gen Admin'!E87)</f>
        <v>121000.00000000001</v>
      </c>
      <c r="K97" s="226">
        <v>121000</v>
      </c>
      <c r="L97" s="226">
        <v>113735</v>
      </c>
      <c r="M97" s="204">
        <f t="shared" si="9"/>
        <v>170602.5</v>
      </c>
      <c r="N97" s="204">
        <v>121000</v>
      </c>
    </row>
    <row r="98" spans="1:14" x14ac:dyDescent="0.25">
      <c r="A98" s="315">
        <v>610.05999999999995</v>
      </c>
      <c r="B98" s="316" t="s">
        <v>159</v>
      </c>
      <c r="C98" s="338"/>
      <c r="D98" s="335"/>
      <c r="E98" s="335"/>
      <c r="F98" s="311">
        <v>5600</v>
      </c>
      <c r="G98" s="226">
        <v>4312</v>
      </c>
      <c r="H98" s="226">
        <v>5116</v>
      </c>
      <c r="I98" s="226">
        <v>5116</v>
      </c>
      <c r="J98" s="226">
        <v>6821</v>
      </c>
      <c r="K98" s="226">
        <v>6821</v>
      </c>
      <c r="L98" s="226">
        <v>6846.46</v>
      </c>
      <c r="M98" s="204">
        <f t="shared" si="9"/>
        <v>10269.69</v>
      </c>
      <c r="N98" s="204">
        <v>6821</v>
      </c>
    </row>
    <row r="99" spans="1:14" x14ac:dyDescent="0.25">
      <c r="A99" s="315">
        <v>610.07000000000005</v>
      </c>
      <c r="B99" s="316" t="s">
        <v>160</v>
      </c>
      <c r="C99" s="316"/>
      <c r="D99" s="316"/>
      <c r="E99" s="316"/>
      <c r="F99" s="327">
        <v>5000</v>
      </c>
      <c r="G99" s="226">
        <v>10000</v>
      </c>
      <c r="H99" s="226">
        <v>10715</v>
      </c>
      <c r="I99" s="226">
        <v>10715</v>
      </c>
      <c r="J99" s="226">
        <f>SUM('Budget Req - Gen Admin'!E89)</f>
        <v>5000</v>
      </c>
      <c r="K99" s="226">
        <v>5000</v>
      </c>
      <c r="L99" s="226">
        <v>207.5</v>
      </c>
      <c r="M99" s="204">
        <f t="shared" si="9"/>
        <v>311.25</v>
      </c>
      <c r="N99" s="204">
        <v>5000</v>
      </c>
    </row>
    <row r="100" spans="1:14" x14ac:dyDescent="0.25">
      <c r="A100" s="315">
        <v>610.08000000000004</v>
      </c>
      <c r="B100" s="316" t="s">
        <v>161</v>
      </c>
      <c r="C100" s="316"/>
      <c r="D100" s="316"/>
      <c r="E100" s="316"/>
      <c r="F100" s="327">
        <v>15000</v>
      </c>
      <c r="G100" s="226">
        <v>10000</v>
      </c>
      <c r="H100" s="226">
        <v>0</v>
      </c>
      <c r="I100" s="226">
        <v>10000</v>
      </c>
      <c r="J100" s="226" t="e">
        <f>SUM('Budget Req - Gen Admin'!#REF!)</f>
        <v>#REF!</v>
      </c>
      <c r="K100" s="226">
        <v>21000</v>
      </c>
      <c r="L100" s="226">
        <v>295</v>
      </c>
      <c r="M100" s="204">
        <f t="shared" si="9"/>
        <v>442.5</v>
      </c>
      <c r="N100" s="204">
        <v>5000</v>
      </c>
    </row>
    <row r="101" spans="1:14" x14ac:dyDescent="0.25">
      <c r="A101" s="315">
        <v>610.1</v>
      </c>
      <c r="B101" s="316" t="s">
        <v>540</v>
      </c>
      <c r="C101" s="316"/>
      <c r="D101" s="316"/>
      <c r="E101" s="316"/>
      <c r="F101" s="327"/>
      <c r="G101" s="226">
        <v>96000</v>
      </c>
      <c r="H101" s="226">
        <v>72000</v>
      </c>
      <c r="I101" s="226">
        <v>96000</v>
      </c>
      <c r="J101" s="340">
        <v>96000</v>
      </c>
      <c r="K101" s="340">
        <v>96000</v>
      </c>
      <c r="L101" s="340">
        <v>64000</v>
      </c>
      <c r="M101" s="204">
        <f t="shared" si="9"/>
        <v>96000</v>
      </c>
      <c r="N101" s="204">
        <v>96000</v>
      </c>
    </row>
    <row r="102" spans="1:14" x14ac:dyDescent="0.25">
      <c r="A102" s="315">
        <v>610.11</v>
      </c>
      <c r="B102" s="316" t="s">
        <v>865</v>
      </c>
      <c r="C102" s="386"/>
      <c r="D102" s="386"/>
      <c r="E102" s="386"/>
      <c r="F102" s="248"/>
      <c r="G102" s="201"/>
      <c r="H102" s="201"/>
      <c r="I102" s="201"/>
      <c r="J102" s="473"/>
      <c r="K102" s="340">
        <v>61000</v>
      </c>
      <c r="L102" s="340"/>
      <c r="M102" s="207"/>
      <c r="N102" s="207">
        <v>55000</v>
      </c>
    </row>
    <row r="103" spans="1:14" x14ac:dyDescent="0.25">
      <c r="A103" s="284">
        <v>610.12</v>
      </c>
      <c r="B103" s="285" t="s">
        <v>866</v>
      </c>
      <c r="C103" s="386"/>
      <c r="D103" s="386"/>
      <c r="E103" s="386"/>
      <c r="F103" s="248"/>
      <c r="G103" s="201"/>
      <c r="H103" s="201"/>
      <c r="I103" s="201"/>
      <c r="J103" s="473"/>
      <c r="K103" s="340">
        <v>4250</v>
      </c>
      <c r="L103" s="340">
        <v>4295.6099999999997</v>
      </c>
      <c r="M103" s="207"/>
      <c r="N103" s="207">
        <v>5000</v>
      </c>
    </row>
    <row r="104" spans="1:14" x14ac:dyDescent="0.25">
      <c r="A104" s="316">
        <v>610.13</v>
      </c>
      <c r="B104" s="525" t="s">
        <v>69</v>
      </c>
      <c r="C104" s="310">
        <v>111986</v>
      </c>
      <c r="D104" s="311">
        <v>66126</v>
      </c>
      <c r="E104" s="310">
        <v>99189</v>
      </c>
      <c r="F104" s="311">
        <v>0</v>
      </c>
      <c r="G104" s="226">
        <v>0</v>
      </c>
      <c r="H104" s="226"/>
      <c r="I104" s="226"/>
      <c r="J104" s="377">
        <v>0</v>
      </c>
      <c r="K104" s="291">
        <v>0</v>
      </c>
      <c r="L104" s="291">
        <v>254782.63</v>
      </c>
      <c r="M104" s="226">
        <f>(L104/8)*12</f>
        <v>382173.94500000001</v>
      </c>
      <c r="N104" s="226">
        <v>100000</v>
      </c>
    </row>
    <row r="105" spans="1:14" s="242" customFormat="1" ht="18.75" thickBot="1" x14ac:dyDescent="0.3">
      <c r="A105" s="474" t="s">
        <v>156</v>
      </c>
      <c r="B105" s="475"/>
      <c r="C105" s="166"/>
      <c r="D105" s="166"/>
      <c r="E105" s="166"/>
      <c r="F105" s="167">
        <f>SUM(F95:F100)</f>
        <v>772164</v>
      </c>
      <c r="G105" s="309">
        <f>SUM(G95:G101)</f>
        <v>1050998</v>
      </c>
      <c r="H105" s="309">
        <f>SUM(H95:H101)</f>
        <v>745115</v>
      </c>
      <c r="I105" s="309">
        <f>SUM(I95:I101)</f>
        <v>1118228</v>
      </c>
      <c r="J105" s="309" t="e">
        <f>SUM(J95:J101)</f>
        <v>#REF!</v>
      </c>
      <c r="K105" s="309">
        <f>SUM(K95:K103)</f>
        <v>1200071</v>
      </c>
      <c r="L105" s="309">
        <f>SUM(L95:L101)</f>
        <v>753572.66999999993</v>
      </c>
      <c r="M105" s="304">
        <f t="shared" si="9"/>
        <v>1130359.0049999999</v>
      </c>
      <c r="N105" s="318">
        <f>SUM(N95:N104)</f>
        <v>1334821</v>
      </c>
    </row>
    <row r="106" spans="1:14" ht="18.75" thickBot="1" x14ac:dyDescent="0.3">
      <c r="A106" s="592" t="s">
        <v>21</v>
      </c>
      <c r="B106" s="593"/>
      <c r="C106" s="244">
        <f>SUM(C51:C97)</f>
        <v>866275</v>
      </c>
      <c r="D106" s="243">
        <f>SUM(D51:D99)</f>
        <v>589417</v>
      </c>
      <c r="E106" s="244">
        <f>SUM(E51:E97)</f>
        <v>790047</v>
      </c>
      <c r="F106" s="243">
        <f t="shared" ref="F106:M106" si="16">SUM(F60+F69+F77+F79+F83+F88+F91+F94+F105)</f>
        <v>1079883.6400000001</v>
      </c>
      <c r="G106" s="151">
        <f t="shared" si="16"/>
        <v>1355744</v>
      </c>
      <c r="H106" s="151">
        <f t="shared" si="16"/>
        <v>979721</v>
      </c>
      <c r="I106" s="151">
        <f t="shared" si="16"/>
        <v>1440943.4906000001</v>
      </c>
      <c r="J106" s="151" t="e">
        <f t="shared" si="16"/>
        <v>#REF!</v>
      </c>
      <c r="K106" s="152">
        <f t="shared" si="16"/>
        <v>1724005.3006</v>
      </c>
      <c r="L106" s="152">
        <f t="shared" si="16"/>
        <v>1044691.7099999998</v>
      </c>
      <c r="M106" s="152">
        <f t="shared" si="16"/>
        <v>1567037.5649999999</v>
      </c>
      <c r="N106" s="152">
        <f>SUM(N60+N69+N77+N79+N83+N88+N91+N94+N105)</f>
        <v>1856926.4895000001</v>
      </c>
    </row>
    <row r="107" spans="1:14" x14ac:dyDescent="0.25">
      <c r="A107" s="602"/>
      <c r="B107" s="612"/>
      <c r="C107" s="612"/>
      <c r="D107" s="612"/>
      <c r="E107" s="612"/>
      <c r="F107" s="586"/>
      <c r="G107" s="426"/>
      <c r="H107" s="427"/>
      <c r="I107" s="379" t="str">
        <f>+I2</f>
        <v xml:space="preserve"> Estimated</v>
      </c>
      <c r="J107" s="379" t="s">
        <v>778</v>
      </c>
      <c r="K107" s="379" t="s">
        <v>765</v>
      </c>
      <c r="L107" s="359"/>
      <c r="M107" s="379" t="s">
        <v>655</v>
      </c>
      <c r="N107" s="379" t="s">
        <v>802</v>
      </c>
    </row>
    <row r="108" spans="1:14" x14ac:dyDescent="0.25">
      <c r="A108" s="81" t="s">
        <v>162</v>
      </c>
      <c r="B108" s="82"/>
      <c r="C108" s="82" t="s">
        <v>23</v>
      </c>
      <c r="D108" s="82" t="s">
        <v>26</v>
      </c>
      <c r="E108" s="82" t="s">
        <v>25</v>
      </c>
      <c r="F108" s="89" t="s">
        <v>338</v>
      </c>
      <c r="G108" s="90" t="str">
        <f>+G3</f>
        <v>Budget 2016-17</v>
      </c>
      <c r="H108" s="90" t="str">
        <f>+H3</f>
        <v>Actual 5/31/17</v>
      </c>
      <c r="I108" s="266">
        <f>+I3</f>
        <v>43008</v>
      </c>
      <c r="J108" s="90" t="str">
        <f>+J3</f>
        <v>Budget 2017-18</v>
      </c>
      <c r="K108" s="90" t="s">
        <v>766</v>
      </c>
      <c r="L108" s="83" t="s">
        <v>779</v>
      </c>
      <c r="M108" s="458">
        <v>43373</v>
      </c>
      <c r="N108" s="90" t="s">
        <v>803</v>
      </c>
    </row>
    <row r="109" spans="1:14" x14ac:dyDescent="0.25">
      <c r="A109" s="342" t="s">
        <v>163</v>
      </c>
      <c r="B109" s="327" t="s">
        <v>5</v>
      </c>
      <c r="C109" s="327">
        <v>306840</v>
      </c>
      <c r="D109" s="327">
        <v>174588</v>
      </c>
      <c r="E109" s="327">
        <v>261882</v>
      </c>
      <c r="F109" s="327">
        <v>411513</v>
      </c>
      <c r="G109" s="340">
        <v>624231</v>
      </c>
      <c r="H109" s="340">
        <v>426767</v>
      </c>
      <c r="I109" s="226">
        <f>+H109+(47200*4)</f>
        <v>615567</v>
      </c>
      <c r="J109" s="226">
        <f>SUM('Personnel Sched-PD'!H40)</f>
        <v>735813.16200000024</v>
      </c>
      <c r="K109" s="226">
        <v>699864</v>
      </c>
      <c r="L109" s="226">
        <v>455379.68</v>
      </c>
      <c r="M109" s="204">
        <f>(L109/8)*12</f>
        <v>683069.52</v>
      </c>
      <c r="N109" s="204">
        <v>735813</v>
      </c>
    </row>
    <row r="110" spans="1:14" x14ac:dyDescent="0.25">
      <c r="A110" s="327">
        <v>510.03</v>
      </c>
      <c r="B110" s="327" t="s">
        <v>43</v>
      </c>
      <c r="C110" s="327">
        <v>23800</v>
      </c>
      <c r="D110" s="327">
        <v>12903</v>
      </c>
      <c r="E110" s="327">
        <v>19354</v>
      </c>
      <c r="F110" s="327">
        <v>500</v>
      </c>
      <c r="G110" s="340">
        <v>700</v>
      </c>
      <c r="H110" s="340">
        <v>-173</v>
      </c>
      <c r="I110" s="226">
        <v>100</v>
      </c>
      <c r="J110" s="226">
        <v>5000</v>
      </c>
      <c r="K110" s="226">
        <v>5000</v>
      </c>
      <c r="L110" s="226">
        <v>329.58</v>
      </c>
      <c r="M110" s="204">
        <f t="shared" ref="M110:M151" si="17">(L110/8)*12</f>
        <v>494.37</v>
      </c>
      <c r="N110" s="204">
        <v>5000</v>
      </c>
    </row>
    <row r="111" spans="1:14" x14ac:dyDescent="0.25">
      <c r="A111" s="327">
        <v>510.05</v>
      </c>
      <c r="B111" s="327" t="s">
        <v>164</v>
      </c>
      <c r="C111" s="327">
        <v>16200</v>
      </c>
      <c r="D111" s="327">
        <v>9100</v>
      </c>
      <c r="E111" s="327">
        <v>13650</v>
      </c>
      <c r="F111" s="327">
        <v>71489</v>
      </c>
      <c r="G111" s="340">
        <v>92700</v>
      </c>
      <c r="H111" s="340">
        <v>51998</v>
      </c>
      <c r="I111" s="226">
        <f>(+H111/7)*12</f>
        <v>89139.42857142858</v>
      </c>
      <c r="J111" s="226">
        <f>SUM('Budget Req-PD'!E14)</f>
        <v>0</v>
      </c>
      <c r="K111" s="226">
        <v>111596</v>
      </c>
      <c r="L111" s="226">
        <v>62060.82</v>
      </c>
      <c r="M111" s="204">
        <f t="shared" si="17"/>
        <v>93091.23</v>
      </c>
      <c r="N111" s="204">
        <v>145646</v>
      </c>
    </row>
    <row r="112" spans="1:14" x14ac:dyDescent="0.25">
      <c r="A112" s="327">
        <v>510.06</v>
      </c>
      <c r="B112" s="327" t="s">
        <v>17</v>
      </c>
      <c r="C112" s="327">
        <v>37000</v>
      </c>
      <c r="D112" s="327">
        <v>21859</v>
      </c>
      <c r="E112" s="327">
        <v>32788</v>
      </c>
      <c r="F112" s="327">
        <v>31480.74</v>
      </c>
      <c r="G112" s="340">
        <v>47754</v>
      </c>
      <c r="H112" s="340">
        <v>31796</v>
      </c>
      <c r="I112" s="226">
        <f>+I109*0.07</f>
        <v>43089.69</v>
      </c>
      <c r="J112" s="226">
        <f>SUM('Budget Req-PD'!E15)</f>
        <v>57978.398099790014</v>
      </c>
      <c r="K112" s="226">
        <f>SUM(K109*0.0765)</f>
        <v>53539.595999999998</v>
      </c>
      <c r="L112" s="226">
        <v>28323.94</v>
      </c>
      <c r="M112" s="204">
        <f t="shared" si="17"/>
        <v>42485.909999999996</v>
      </c>
      <c r="N112" s="204">
        <v>56290</v>
      </c>
    </row>
    <row r="113" spans="1:14" x14ac:dyDescent="0.25">
      <c r="A113" s="327">
        <v>510.07</v>
      </c>
      <c r="B113" s="327" t="s">
        <v>130</v>
      </c>
      <c r="C113" s="327">
        <v>1500</v>
      </c>
      <c r="D113" s="327">
        <v>1447</v>
      </c>
      <c r="E113" s="327">
        <v>2171</v>
      </c>
      <c r="F113" s="327">
        <v>17489.3</v>
      </c>
      <c r="G113" s="340">
        <v>31773</v>
      </c>
      <c r="H113" s="340">
        <v>16928</v>
      </c>
      <c r="I113" s="226">
        <f>+I109*0.0502</f>
        <v>30901.463400000001</v>
      </c>
      <c r="J113" s="226">
        <f>SUM('Budget Req-PD'!E16)</f>
        <v>34141.730716800012</v>
      </c>
      <c r="K113" s="226">
        <f>SUM(K109*0.0509)</f>
        <v>35623.077600000004</v>
      </c>
      <c r="L113" s="226">
        <v>16498.09</v>
      </c>
      <c r="M113" s="204">
        <f t="shared" si="17"/>
        <v>24747.135000000002</v>
      </c>
      <c r="N113" s="204">
        <v>34142</v>
      </c>
    </row>
    <row r="114" spans="1:14" x14ac:dyDescent="0.25">
      <c r="A114" s="327">
        <v>510.08</v>
      </c>
      <c r="B114" s="327" t="s">
        <v>278</v>
      </c>
      <c r="C114" s="327"/>
      <c r="D114" s="327"/>
      <c r="E114" s="327"/>
      <c r="F114" s="327">
        <v>8866</v>
      </c>
      <c r="G114" s="340">
        <v>13440</v>
      </c>
      <c r="H114" s="340">
        <v>9585</v>
      </c>
      <c r="I114" s="226">
        <v>13500</v>
      </c>
      <c r="J114" s="226" t="e">
        <f>SUM('Budget Req-PD'!#REF!)</f>
        <v>#REF!</v>
      </c>
      <c r="K114" s="226">
        <v>15326</v>
      </c>
      <c r="L114" s="226">
        <v>13405.5</v>
      </c>
      <c r="M114" s="204">
        <f t="shared" si="17"/>
        <v>20108.25</v>
      </c>
      <c r="N114" s="204">
        <v>22000</v>
      </c>
    </row>
    <row r="115" spans="1:14" x14ac:dyDescent="0.25">
      <c r="A115" s="327">
        <v>510.1</v>
      </c>
      <c r="B115" s="327" t="s">
        <v>828</v>
      </c>
      <c r="C115" s="327"/>
      <c r="D115" s="327"/>
      <c r="E115" s="327"/>
      <c r="F115" s="327"/>
      <c r="G115" s="340"/>
      <c r="H115" s="340"/>
      <c r="I115" s="226"/>
      <c r="J115" s="226"/>
      <c r="K115" s="226">
        <v>0</v>
      </c>
      <c r="L115" s="226">
        <v>0</v>
      </c>
      <c r="M115" s="204">
        <f t="shared" si="17"/>
        <v>0</v>
      </c>
      <c r="N115" s="204">
        <v>12500</v>
      </c>
    </row>
    <row r="116" spans="1:14" x14ac:dyDescent="0.25">
      <c r="A116" s="327">
        <v>510.11</v>
      </c>
      <c r="B116" s="327" t="s">
        <v>780</v>
      </c>
      <c r="C116" s="327">
        <v>0</v>
      </c>
      <c r="D116" s="327">
        <v>0</v>
      </c>
      <c r="E116" s="327">
        <v>0</v>
      </c>
      <c r="F116" s="327">
        <v>20000</v>
      </c>
      <c r="G116" s="340">
        <v>0</v>
      </c>
      <c r="H116" s="340">
        <v>1200</v>
      </c>
      <c r="I116" s="226">
        <v>1200</v>
      </c>
      <c r="J116" s="226">
        <f>SUM('Budget Req-PD'!E22)</f>
        <v>0</v>
      </c>
      <c r="K116" s="226">
        <f>SUM('Budget Req-PD'!F22)</f>
        <v>2600</v>
      </c>
      <c r="L116" s="226">
        <v>1100</v>
      </c>
      <c r="M116" s="204">
        <f t="shared" si="17"/>
        <v>1650</v>
      </c>
      <c r="N116" s="204">
        <v>2600</v>
      </c>
    </row>
    <row r="117" spans="1:14" x14ac:dyDescent="0.25">
      <c r="A117" s="327">
        <v>510.12</v>
      </c>
      <c r="B117" s="327" t="s">
        <v>429</v>
      </c>
      <c r="C117" s="327"/>
      <c r="D117" s="327"/>
      <c r="E117" s="327"/>
      <c r="F117" s="327">
        <v>0</v>
      </c>
      <c r="G117" s="340">
        <v>15300</v>
      </c>
      <c r="H117" s="340">
        <v>0</v>
      </c>
      <c r="I117" s="226">
        <v>15300</v>
      </c>
      <c r="J117" s="226">
        <f>SUM('Budget Req-PD'!E23)</f>
        <v>17100</v>
      </c>
      <c r="K117" s="226">
        <v>17100</v>
      </c>
      <c r="L117" s="226">
        <v>3450</v>
      </c>
      <c r="M117" s="204">
        <f t="shared" si="17"/>
        <v>5175</v>
      </c>
      <c r="N117" s="204">
        <v>15450</v>
      </c>
    </row>
    <row r="118" spans="1:14" x14ac:dyDescent="0.25">
      <c r="A118" s="343" t="s">
        <v>131</v>
      </c>
      <c r="B118" s="343"/>
      <c r="C118" s="343"/>
      <c r="D118" s="343"/>
      <c r="E118" s="343"/>
      <c r="F118" s="343">
        <f t="shared" ref="F118:L118" si="18">SUM(F109:F117)</f>
        <v>561338.04</v>
      </c>
      <c r="G118" s="288">
        <f t="shared" si="18"/>
        <v>825898</v>
      </c>
      <c r="H118" s="288">
        <f t="shared" si="18"/>
        <v>538101</v>
      </c>
      <c r="I118" s="288">
        <f t="shared" si="18"/>
        <v>808797.58197142859</v>
      </c>
      <c r="J118" s="288" t="e">
        <f t="shared" si="18"/>
        <v>#REF!</v>
      </c>
      <c r="K118" s="288">
        <f t="shared" si="18"/>
        <v>940648.67359999998</v>
      </c>
      <c r="L118" s="288">
        <f t="shared" si="18"/>
        <v>580547.61</v>
      </c>
      <c r="M118" s="136">
        <f t="shared" si="17"/>
        <v>870821.41500000004</v>
      </c>
      <c r="N118" s="136">
        <f>SUM(N109:N117)</f>
        <v>1029441</v>
      </c>
    </row>
    <row r="119" spans="1:14" x14ac:dyDescent="0.25">
      <c r="A119" s="327">
        <v>520.01</v>
      </c>
      <c r="B119" s="327" t="s">
        <v>133</v>
      </c>
      <c r="C119" s="327">
        <v>4500</v>
      </c>
      <c r="D119" s="327">
        <v>2624</v>
      </c>
      <c r="E119" s="327">
        <v>3936</v>
      </c>
      <c r="F119" s="327">
        <v>2900</v>
      </c>
      <c r="G119" s="340">
        <v>2800</v>
      </c>
      <c r="H119" s="340">
        <v>2154</v>
      </c>
      <c r="I119" s="226">
        <v>2800</v>
      </c>
      <c r="J119" s="226">
        <f>SUM('Budget Req-PD'!E25)</f>
        <v>3000</v>
      </c>
      <c r="K119" s="226">
        <v>3000</v>
      </c>
      <c r="L119" s="226">
        <v>2292.63</v>
      </c>
      <c r="M119" s="204">
        <f t="shared" si="17"/>
        <v>3438.9450000000002</v>
      </c>
      <c r="N119" s="226">
        <v>4000</v>
      </c>
    </row>
    <row r="120" spans="1:14" x14ac:dyDescent="0.25">
      <c r="A120" s="327">
        <v>520.02</v>
      </c>
      <c r="B120" s="327" t="s">
        <v>166</v>
      </c>
      <c r="C120" s="327">
        <v>5000</v>
      </c>
      <c r="D120" s="342">
        <v>2678</v>
      </c>
      <c r="E120" s="327">
        <v>4017</v>
      </c>
      <c r="F120" s="327">
        <v>480</v>
      </c>
      <c r="G120" s="340">
        <v>400</v>
      </c>
      <c r="H120" s="340">
        <v>184</v>
      </c>
      <c r="I120" s="226">
        <v>400</v>
      </c>
      <c r="J120" s="226">
        <f>SUM('Budget Req-PD'!E26)</f>
        <v>400</v>
      </c>
      <c r="K120" s="226">
        <v>400</v>
      </c>
      <c r="L120" s="226">
        <v>161.77000000000001</v>
      </c>
      <c r="M120" s="204">
        <f t="shared" si="17"/>
        <v>242.65500000000003</v>
      </c>
      <c r="N120" s="226">
        <v>400</v>
      </c>
    </row>
    <row r="121" spans="1:14" x14ac:dyDescent="0.25">
      <c r="A121" s="327">
        <v>520.03</v>
      </c>
      <c r="B121" s="327" t="s">
        <v>573</v>
      </c>
      <c r="C121" s="327"/>
      <c r="D121" s="342"/>
      <c r="E121" s="327"/>
      <c r="F121" s="327"/>
      <c r="G121" s="340">
        <v>0</v>
      </c>
      <c r="H121" s="340">
        <v>201</v>
      </c>
      <c r="I121" s="226">
        <v>300</v>
      </c>
      <c r="J121" s="226">
        <v>300</v>
      </c>
      <c r="K121" s="226">
        <v>300</v>
      </c>
      <c r="L121" s="226">
        <v>744.97</v>
      </c>
      <c r="M121" s="204">
        <f t="shared" si="17"/>
        <v>1117.4549999999999</v>
      </c>
      <c r="N121" s="226">
        <v>1000</v>
      </c>
    </row>
    <row r="122" spans="1:14" x14ac:dyDescent="0.25">
      <c r="A122" s="327">
        <v>520.04</v>
      </c>
      <c r="B122" s="327" t="s">
        <v>167</v>
      </c>
      <c r="C122" s="327">
        <v>1500</v>
      </c>
      <c r="D122" s="327">
        <v>265</v>
      </c>
      <c r="E122" s="327">
        <v>397</v>
      </c>
      <c r="F122" s="327">
        <v>9000</v>
      </c>
      <c r="G122" s="340">
        <v>13200</v>
      </c>
      <c r="H122" s="226">
        <v>2886</v>
      </c>
      <c r="I122" s="226">
        <v>5700</v>
      </c>
      <c r="J122" s="226">
        <f>SUM('Budget Req-PD'!E32)</f>
        <v>0</v>
      </c>
      <c r="K122" s="226">
        <v>8800</v>
      </c>
      <c r="L122" s="226">
        <v>3405.07</v>
      </c>
      <c r="M122" s="204">
        <f t="shared" si="17"/>
        <v>5107.6050000000005</v>
      </c>
      <c r="N122" s="226">
        <v>8800</v>
      </c>
    </row>
    <row r="123" spans="1:14" x14ac:dyDescent="0.25">
      <c r="A123" s="327">
        <v>520.05999999999995</v>
      </c>
      <c r="B123" s="327" t="s">
        <v>168</v>
      </c>
      <c r="C123" s="327">
        <v>9000</v>
      </c>
      <c r="D123" s="327">
        <v>5535</v>
      </c>
      <c r="E123" s="327">
        <v>8302</v>
      </c>
      <c r="F123" s="327">
        <v>22600</v>
      </c>
      <c r="G123" s="340">
        <v>17500</v>
      </c>
      <c r="H123" s="340">
        <v>12989</v>
      </c>
      <c r="I123" s="226">
        <v>17500</v>
      </c>
      <c r="J123" s="226">
        <f>'Budget Req-PD'!E33</f>
        <v>18000</v>
      </c>
      <c r="K123" s="226">
        <v>18000</v>
      </c>
      <c r="L123" s="226">
        <v>15290.69</v>
      </c>
      <c r="M123" s="204">
        <f t="shared" si="17"/>
        <v>22936.035</v>
      </c>
      <c r="N123" s="226">
        <v>22000</v>
      </c>
    </row>
    <row r="124" spans="1:14" x14ac:dyDescent="0.25">
      <c r="A124" s="327">
        <v>520.07000000000005</v>
      </c>
      <c r="B124" s="327" t="s">
        <v>169</v>
      </c>
      <c r="C124" s="327"/>
      <c r="D124" s="327"/>
      <c r="E124" s="327"/>
      <c r="F124" s="327">
        <v>2000</v>
      </c>
      <c r="G124" s="340">
        <v>2000</v>
      </c>
      <c r="H124" s="340">
        <v>273</v>
      </c>
      <c r="I124" s="226">
        <v>1500</v>
      </c>
      <c r="J124" s="226">
        <f>'Budget Req-PD'!E34</f>
        <v>2000</v>
      </c>
      <c r="K124" s="226">
        <v>2000</v>
      </c>
      <c r="L124" s="226">
        <v>2041.2</v>
      </c>
      <c r="M124" s="204">
        <f t="shared" si="17"/>
        <v>3061.8</v>
      </c>
      <c r="N124" s="226">
        <v>2500</v>
      </c>
    </row>
    <row r="125" spans="1:14" x14ac:dyDescent="0.25">
      <c r="A125" s="327">
        <v>520.08000000000004</v>
      </c>
      <c r="B125" s="327" t="s">
        <v>170</v>
      </c>
      <c r="C125" s="327">
        <v>7000</v>
      </c>
      <c r="D125" s="327">
        <v>3265</v>
      </c>
      <c r="E125" s="327">
        <v>4897</v>
      </c>
      <c r="F125" s="327">
        <v>500</v>
      </c>
      <c r="G125" s="340">
        <v>500</v>
      </c>
      <c r="H125" s="340">
        <v>225</v>
      </c>
      <c r="I125" s="226">
        <v>500</v>
      </c>
      <c r="J125" s="226">
        <f>'Budget Req-PD'!E35</f>
        <v>500</v>
      </c>
      <c r="K125" s="226">
        <v>500</v>
      </c>
      <c r="L125" s="226">
        <v>231.65</v>
      </c>
      <c r="M125" s="204">
        <f t="shared" si="17"/>
        <v>347.47500000000002</v>
      </c>
      <c r="N125" s="226">
        <v>500</v>
      </c>
    </row>
    <row r="126" spans="1:14" s="263" customFormat="1" x14ac:dyDescent="0.25">
      <c r="A126" s="327">
        <v>520.09</v>
      </c>
      <c r="B126" s="327" t="s">
        <v>807</v>
      </c>
      <c r="C126" s="327"/>
      <c r="D126" s="327"/>
      <c r="E126" s="327"/>
      <c r="F126" s="327"/>
      <c r="G126" s="340"/>
      <c r="H126" s="340"/>
      <c r="I126" s="226"/>
      <c r="J126" s="226"/>
      <c r="K126" s="226"/>
      <c r="L126" s="226"/>
      <c r="M126" s="226">
        <f t="shared" si="17"/>
        <v>0</v>
      </c>
      <c r="N126" s="226">
        <v>1000</v>
      </c>
    </row>
    <row r="127" spans="1:14" x14ac:dyDescent="0.25">
      <c r="A127" s="327">
        <v>520.1</v>
      </c>
      <c r="B127" s="327" t="s">
        <v>673</v>
      </c>
      <c r="C127" s="327"/>
      <c r="D127" s="327"/>
      <c r="E127" s="327"/>
      <c r="F127" s="327">
        <v>0</v>
      </c>
      <c r="G127" s="340">
        <v>0</v>
      </c>
      <c r="H127" s="226">
        <v>89</v>
      </c>
      <c r="I127" s="226">
        <v>100</v>
      </c>
      <c r="J127" s="226">
        <v>0</v>
      </c>
      <c r="K127" s="226">
        <v>0</v>
      </c>
      <c r="L127" s="226"/>
      <c r="M127" s="204">
        <f t="shared" si="17"/>
        <v>0</v>
      </c>
      <c r="N127" s="226">
        <v>2500</v>
      </c>
    </row>
    <row r="128" spans="1:14" x14ac:dyDescent="0.25">
      <c r="A128" s="343" t="s">
        <v>137</v>
      </c>
      <c r="B128" s="327"/>
      <c r="C128" s="327"/>
      <c r="D128" s="327"/>
      <c r="E128" s="327"/>
      <c r="F128" s="327">
        <f t="shared" ref="F128:N128" si="19">SUM(F119:F127)</f>
        <v>37480</v>
      </c>
      <c r="G128" s="226">
        <f t="shared" si="19"/>
        <v>36400</v>
      </c>
      <c r="H128" s="226">
        <f t="shared" si="19"/>
        <v>19001</v>
      </c>
      <c r="I128" s="226">
        <f t="shared" si="19"/>
        <v>28800</v>
      </c>
      <c r="J128" s="226">
        <f t="shared" si="19"/>
        <v>24200</v>
      </c>
      <c r="K128" s="288">
        <f t="shared" si="19"/>
        <v>33000</v>
      </c>
      <c r="L128" s="288">
        <f t="shared" si="19"/>
        <v>24167.980000000003</v>
      </c>
      <c r="M128" s="136">
        <f t="shared" si="17"/>
        <v>36251.97</v>
      </c>
      <c r="N128" s="288">
        <f t="shared" si="19"/>
        <v>42700</v>
      </c>
    </row>
    <row r="129" spans="1:14" x14ac:dyDescent="0.25">
      <c r="A129" s="327">
        <v>530.01</v>
      </c>
      <c r="B129" s="327" t="s">
        <v>171</v>
      </c>
      <c r="C129" s="327">
        <v>15000</v>
      </c>
      <c r="D129" s="327">
        <v>0</v>
      </c>
      <c r="E129" s="327">
        <v>0</v>
      </c>
      <c r="F129" s="327">
        <v>10800</v>
      </c>
      <c r="G129" s="226">
        <v>16000</v>
      </c>
      <c r="H129" s="340">
        <v>14839</v>
      </c>
      <c r="I129" s="226">
        <f>17517+(2670*3)</f>
        <v>25527</v>
      </c>
      <c r="J129" s="226" t="e">
        <f>SUM('Budget Req-PD'!#REF!)</f>
        <v>#REF!</v>
      </c>
      <c r="K129" s="226">
        <v>21600</v>
      </c>
      <c r="L129" s="226">
        <v>11202.58</v>
      </c>
      <c r="M129" s="204">
        <f t="shared" si="17"/>
        <v>16803.87</v>
      </c>
      <c r="N129" s="226">
        <v>21600</v>
      </c>
    </row>
    <row r="130" spans="1:14" x14ac:dyDescent="0.25">
      <c r="A130" s="327">
        <v>530.02</v>
      </c>
      <c r="B130" s="327" t="s">
        <v>58</v>
      </c>
      <c r="C130" s="327">
        <v>25000</v>
      </c>
      <c r="D130" s="327">
        <v>6802</v>
      </c>
      <c r="E130" s="327">
        <v>10203</v>
      </c>
      <c r="F130" s="327">
        <v>1200</v>
      </c>
      <c r="G130" s="226">
        <v>1800</v>
      </c>
      <c r="H130" s="340">
        <v>972</v>
      </c>
      <c r="I130" s="226">
        <v>1800</v>
      </c>
      <c r="J130" s="226">
        <f>SUM('Budget Req-PD'!E40)</f>
        <v>1800</v>
      </c>
      <c r="K130" s="226">
        <v>1800</v>
      </c>
      <c r="L130" s="226">
        <v>396.44</v>
      </c>
      <c r="M130" s="204">
        <f t="shared" si="17"/>
        <v>594.66</v>
      </c>
      <c r="N130" s="226">
        <v>1800</v>
      </c>
    </row>
    <row r="131" spans="1:14" x14ac:dyDescent="0.25">
      <c r="A131" s="344">
        <v>530.03</v>
      </c>
      <c r="B131" s="344" t="s">
        <v>475</v>
      </c>
      <c r="C131" s="344"/>
      <c r="D131" s="344"/>
      <c r="E131" s="344"/>
      <c r="F131" s="344">
        <v>0</v>
      </c>
      <c r="G131" s="204">
        <v>100</v>
      </c>
      <c r="H131" s="204">
        <v>2727</v>
      </c>
      <c r="I131" s="204">
        <f>4132+1300</f>
        <v>5432</v>
      </c>
      <c r="J131" s="204">
        <v>5500</v>
      </c>
      <c r="K131" s="204">
        <v>5500</v>
      </c>
      <c r="L131" s="204">
        <v>4579.5</v>
      </c>
      <c r="M131" s="204">
        <f t="shared" si="17"/>
        <v>6869.25</v>
      </c>
      <c r="N131" s="204">
        <v>5500</v>
      </c>
    </row>
    <row r="132" spans="1:14" x14ac:dyDescent="0.25">
      <c r="A132" s="344">
        <v>530.04</v>
      </c>
      <c r="B132" s="344" t="s">
        <v>140</v>
      </c>
      <c r="C132" s="344">
        <v>1000</v>
      </c>
      <c r="D132" s="344">
        <v>0</v>
      </c>
      <c r="E132" s="344">
        <v>0</v>
      </c>
      <c r="F132" s="344">
        <v>0</v>
      </c>
      <c r="G132" s="204">
        <v>0</v>
      </c>
      <c r="H132" s="256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f t="shared" si="17"/>
        <v>0</v>
      </c>
      <c r="N132" s="204">
        <v>3000</v>
      </c>
    </row>
    <row r="133" spans="1:14" x14ac:dyDescent="0.25">
      <c r="A133" s="344">
        <v>530.04999999999995</v>
      </c>
      <c r="B133" s="344" t="s">
        <v>18</v>
      </c>
      <c r="C133" s="344">
        <v>4000</v>
      </c>
      <c r="D133" s="344">
        <v>2905</v>
      </c>
      <c r="E133" s="344">
        <v>4357</v>
      </c>
      <c r="F133" s="344">
        <v>600</v>
      </c>
      <c r="G133" s="226">
        <v>300</v>
      </c>
      <c r="H133" s="256">
        <v>137</v>
      </c>
      <c r="I133" s="226">
        <v>300</v>
      </c>
      <c r="J133" s="226">
        <f>'Budget Req-PD'!E43</f>
        <v>300</v>
      </c>
      <c r="K133" s="204">
        <v>300</v>
      </c>
      <c r="L133" s="204">
        <v>306</v>
      </c>
      <c r="M133" s="204">
        <f t="shared" si="17"/>
        <v>459</v>
      </c>
      <c r="N133" s="204">
        <v>750</v>
      </c>
    </row>
    <row r="134" spans="1:14" x14ac:dyDescent="0.25">
      <c r="A134" s="344">
        <v>530.05999999999995</v>
      </c>
      <c r="B134" s="344" t="s">
        <v>141</v>
      </c>
      <c r="C134" s="344">
        <v>500</v>
      </c>
      <c r="D134" s="344">
        <v>0</v>
      </c>
      <c r="E134" s="344">
        <v>0</v>
      </c>
      <c r="F134" s="344">
        <v>0</v>
      </c>
      <c r="G134" s="204">
        <v>600</v>
      </c>
      <c r="H134" s="204">
        <v>0</v>
      </c>
      <c r="I134" s="204">
        <v>500</v>
      </c>
      <c r="J134" s="204">
        <v>1000</v>
      </c>
      <c r="K134" s="204">
        <v>1000</v>
      </c>
      <c r="L134" s="204">
        <v>5.85</v>
      </c>
      <c r="M134" s="204">
        <f t="shared" si="17"/>
        <v>8.7749999999999986</v>
      </c>
      <c r="N134" s="204">
        <v>1000</v>
      </c>
    </row>
    <row r="135" spans="1:14" x14ac:dyDescent="0.25">
      <c r="A135" s="344">
        <v>530.11</v>
      </c>
      <c r="B135" s="344" t="s">
        <v>2</v>
      </c>
      <c r="C135" s="344">
        <v>1100</v>
      </c>
      <c r="D135" s="344">
        <v>0</v>
      </c>
      <c r="E135" s="344">
        <v>0</v>
      </c>
      <c r="F135" s="344">
        <v>6000</v>
      </c>
      <c r="G135" s="204">
        <v>6000</v>
      </c>
      <c r="H135" s="256">
        <v>3727</v>
      </c>
      <c r="I135" s="204">
        <f>4171+(609.5*3)</f>
        <v>5999.5</v>
      </c>
      <c r="J135" s="204">
        <f>'Budget Req-PD'!E45</f>
        <v>6000</v>
      </c>
      <c r="K135" s="204">
        <v>6000</v>
      </c>
      <c r="L135" s="204">
        <v>3895.07</v>
      </c>
      <c r="M135" s="204">
        <f t="shared" si="17"/>
        <v>5842.6050000000005</v>
      </c>
      <c r="N135" s="204">
        <v>6000</v>
      </c>
    </row>
    <row r="136" spans="1:14" x14ac:dyDescent="0.25">
      <c r="A136" s="346" t="s">
        <v>138</v>
      </c>
      <c r="B136" s="344"/>
      <c r="C136" s="344"/>
      <c r="D136" s="344"/>
      <c r="E136" s="344"/>
      <c r="F136" s="344">
        <f t="shared" ref="F136:L136" si="20">SUM(F129:F135)</f>
        <v>18600</v>
      </c>
      <c r="G136" s="204">
        <f t="shared" si="20"/>
        <v>24800</v>
      </c>
      <c r="H136" s="204">
        <f t="shared" si="20"/>
        <v>22402</v>
      </c>
      <c r="I136" s="204">
        <f t="shared" si="20"/>
        <v>39558.5</v>
      </c>
      <c r="J136" s="204" t="e">
        <f t="shared" si="20"/>
        <v>#REF!</v>
      </c>
      <c r="K136" s="136">
        <f t="shared" si="20"/>
        <v>36200</v>
      </c>
      <c r="L136" s="136">
        <f t="shared" si="20"/>
        <v>20385.439999999999</v>
      </c>
      <c r="M136" s="136">
        <f t="shared" si="17"/>
        <v>30578.159999999996</v>
      </c>
      <c r="N136" s="136">
        <f>SUM(N129:N135)</f>
        <v>39650</v>
      </c>
    </row>
    <row r="137" spans="1:14" x14ac:dyDescent="0.25">
      <c r="A137" s="344">
        <v>540.01</v>
      </c>
      <c r="B137" s="344" t="s">
        <v>153</v>
      </c>
      <c r="C137" s="344"/>
      <c r="D137" s="344"/>
      <c r="E137" s="344"/>
      <c r="F137" s="344">
        <v>4000</v>
      </c>
      <c r="G137" s="256">
        <v>2000</v>
      </c>
      <c r="H137" s="256">
        <v>145</v>
      </c>
      <c r="I137" s="204">
        <v>2000</v>
      </c>
      <c r="J137" s="345" t="e">
        <f>SUM('Budget Req-PD'!#REF!)</f>
        <v>#REF!</v>
      </c>
      <c r="K137" s="204">
        <v>2000</v>
      </c>
      <c r="L137" s="204">
        <v>987.54</v>
      </c>
      <c r="M137" s="204">
        <f t="shared" si="17"/>
        <v>1481.31</v>
      </c>
      <c r="N137" s="204">
        <v>2000</v>
      </c>
    </row>
    <row r="138" spans="1:14" x14ac:dyDescent="0.25">
      <c r="A138" s="346" t="s">
        <v>145</v>
      </c>
      <c r="B138" s="344"/>
      <c r="C138" s="344"/>
      <c r="D138" s="344"/>
      <c r="E138" s="344"/>
      <c r="F138" s="344">
        <f t="shared" ref="F138:L138" si="21">SUM(F137)</f>
        <v>4000</v>
      </c>
      <c r="G138" s="204">
        <f t="shared" si="21"/>
        <v>2000</v>
      </c>
      <c r="H138" s="204">
        <f t="shared" si="21"/>
        <v>145</v>
      </c>
      <c r="I138" s="204">
        <f t="shared" si="21"/>
        <v>2000</v>
      </c>
      <c r="J138" s="204" t="e">
        <f t="shared" si="21"/>
        <v>#REF!</v>
      </c>
      <c r="K138" s="136">
        <f t="shared" si="21"/>
        <v>2000</v>
      </c>
      <c r="L138" s="136">
        <f t="shared" si="21"/>
        <v>987.54</v>
      </c>
      <c r="M138" s="136">
        <f t="shared" si="17"/>
        <v>1481.31</v>
      </c>
      <c r="N138" s="136">
        <f>SUM(N137)</f>
        <v>2000</v>
      </c>
    </row>
    <row r="139" spans="1:14" x14ac:dyDescent="0.25">
      <c r="A139" s="344">
        <v>550.01</v>
      </c>
      <c r="B139" s="344" t="s">
        <v>173</v>
      </c>
      <c r="C139" s="344"/>
      <c r="D139" s="344"/>
      <c r="E139" s="344"/>
      <c r="F139" s="344">
        <v>300</v>
      </c>
      <c r="G139" s="256">
        <v>0</v>
      </c>
      <c r="H139" s="204">
        <v>0</v>
      </c>
      <c r="I139" s="204">
        <v>0</v>
      </c>
      <c r="J139" s="204">
        <f>'Budget Req-PD'!E49</f>
        <v>500</v>
      </c>
      <c r="K139" s="226">
        <v>500</v>
      </c>
      <c r="L139" s="226">
        <v>250</v>
      </c>
      <c r="M139" s="204">
        <f t="shared" si="17"/>
        <v>375</v>
      </c>
      <c r="N139" s="226">
        <v>500</v>
      </c>
    </row>
    <row r="140" spans="1:14" x14ac:dyDescent="0.25">
      <c r="A140" s="344">
        <v>550.02</v>
      </c>
      <c r="B140" s="344" t="s">
        <v>174</v>
      </c>
      <c r="C140" s="344"/>
      <c r="D140" s="344"/>
      <c r="E140" s="344"/>
      <c r="F140" s="344">
        <v>2000</v>
      </c>
      <c r="G140" s="256">
        <v>1000</v>
      </c>
      <c r="H140" s="204">
        <v>166</v>
      </c>
      <c r="I140" s="204">
        <v>1000</v>
      </c>
      <c r="J140" s="345">
        <f>SUM('Budget Req-PD'!E50)</f>
        <v>2500</v>
      </c>
      <c r="K140" s="226">
        <v>2500</v>
      </c>
      <c r="L140" s="226">
        <v>252.03</v>
      </c>
      <c r="M140" s="204">
        <f t="shared" si="17"/>
        <v>378.04500000000002</v>
      </c>
      <c r="N140" s="226">
        <v>4500</v>
      </c>
    </row>
    <row r="141" spans="1:14" x14ac:dyDescent="0.25">
      <c r="A141" s="344">
        <v>550.04</v>
      </c>
      <c r="B141" s="344" t="s">
        <v>175</v>
      </c>
      <c r="C141" s="344"/>
      <c r="D141" s="344"/>
      <c r="E141" s="344"/>
      <c r="F141" s="344">
        <v>9000</v>
      </c>
      <c r="G141" s="256">
        <v>11000</v>
      </c>
      <c r="H141" s="256">
        <v>5389</v>
      </c>
      <c r="I141" s="204">
        <v>11000</v>
      </c>
      <c r="J141" s="204" t="e">
        <f>'Budget Req-PD'!#REF!</f>
        <v>#REF!</v>
      </c>
      <c r="K141" s="204">
        <v>12000</v>
      </c>
      <c r="L141" s="204">
        <v>4788.6400000000003</v>
      </c>
      <c r="M141" s="204">
        <f t="shared" si="17"/>
        <v>7182.9600000000009</v>
      </c>
      <c r="N141" s="204">
        <v>12000</v>
      </c>
    </row>
    <row r="142" spans="1:14" x14ac:dyDescent="0.25">
      <c r="A142" s="346" t="s">
        <v>172</v>
      </c>
      <c r="B142" s="346"/>
      <c r="C142" s="344"/>
      <c r="D142" s="344"/>
      <c r="E142" s="344"/>
      <c r="F142" s="344">
        <f t="shared" ref="F142:L142" si="22">SUM(F139:F141)</f>
        <v>11300</v>
      </c>
      <c r="G142" s="204">
        <f t="shared" si="22"/>
        <v>12000</v>
      </c>
      <c r="H142" s="204">
        <f t="shared" si="22"/>
        <v>5555</v>
      </c>
      <c r="I142" s="204">
        <f t="shared" si="22"/>
        <v>12000</v>
      </c>
      <c r="J142" s="204" t="e">
        <f t="shared" si="22"/>
        <v>#REF!</v>
      </c>
      <c r="K142" s="136">
        <f t="shared" si="22"/>
        <v>15000</v>
      </c>
      <c r="L142" s="136">
        <f t="shared" si="22"/>
        <v>5290.67</v>
      </c>
      <c r="M142" s="136">
        <f t="shared" si="17"/>
        <v>7936.0050000000001</v>
      </c>
      <c r="N142" s="136">
        <f>SUM(N139:N141)</f>
        <v>17000</v>
      </c>
    </row>
    <row r="143" spans="1:14" x14ac:dyDescent="0.25">
      <c r="A143" s="327">
        <v>560.02</v>
      </c>
      <c r="B143" s="327" t="s">
        <v>150</v>
      </c>
      <c r="C143" s="327"/>
      <c r="D143" s="327"/>
      <c r="E143" s="327"/>
      <c r="F143" s="327">
        <v>11450</v>
      </c>
      <c r="G143" s="340">
        <v>11220</v>
      </c>
      <c r="H143" s="340">
        <v>9577</v>
      </c>
      <c r="I143" s="226">
        <v>11220</v>
      </c>
      <c r="J143" s="226" t="e">
        <f>SUM('Budget Req-PD'!#REF!)</f>
        <v>#REF!</v>
      </c>
      <c r="K143" s="226">
        <v>11940</v>
      </c>
      <c r="L143" s="226">
        <v>9478.51</v>
      </c>
      <c r="M143" s="204">
        <f t="shared" si="17"/>
        <v>14217.764999999999</v>
      </c>
      <c r="N143" s="226">
        <v>11940</v>
      </c>
    </row>
    <row r="144" spans="1:14" x14ac:dyDescent="0.25">
      <c r="A144" s="327">
        <v>560.09</v>
      </c>
      <c r="B144" s="327" t="s">
        <v>408</v>
      </c>
      <c r="C144" s="327"/>
      <c r="D144" s="327"/>
      <c r="E144" s="327"/>
      <c r="F144" s="327">
        <v>0</v>
      </c>
      <c r="G144" s="340">
        <v>300</v>
      </c>
      <c r="H144" s="340">
        <v>697</v>
      </c>
      <c r="I144" s="226">
        <v>700</v>
      </c>
      <c r="J144" s="226">
        <v>0</v>
      </c>
      <c r="K144" s="226">
        <v>0</v>
      </c>
      <c r="L144" s="226">
        <v>645</v>
      </c>
      <c r="M144" s="204">
        <f t="shared" si="17"/>
        <v>967.5</v>
      </c>
      <c r="N144" s="226">
        <v>4000</v>
      </c>
    </row>
    <row r="145" spans="1:30" x14ac:dyDescent="0.25">
      <c r="A145" s="327">
        <v>560.1</v>
      </c>
      <c r="B145" s="327" t="s">
        <v>151</v>
      </c>
      <c r="C145" s="327"/>
      <c r="D145" s="327"/>
      <c r="E145" s="327"/>
      <c r="F145" s="327">
        <v>2500</v>
      </c>
      <c r="G145" s="340">
        <v>2825</v>
      </c>
      <c r="H145" s="340">
        <v>2069</v>
      </c>
      <c r="I145" s="226">
        <v>2800</v>
      </c>
      <c r="J145" s="226" t="e">
        <f>SUM('Budget Req-PD'!#REF!)</f>
        <v>#REF!</v>
      </c>
      <c r="K145" s="226">
        <v>8250</v>
      </c>
      <c r="L145" s="226">
        <v>2814.68</v>
      </c>
      <c r="M145" s="204">
        <f t="shared" si="17"/>
        <v>4222.0199999999995</v>
      </c>
      <c r="N145" s="226">
        <v>8250</v>
      </c>
    </row>
    <row r="146" spans="1:30" x14ac:dyDescent="0.25">
      <c r="A146" s="343" t="s">
        <v>149</v>
      </c>
      <c r="B146" s="327"/>
      <c r="C146" s="327"/>
      <c r="D146" s="327"/>
      <c r="E146" s="327"/>
      <c r="F146" s="327">
        <f t="shared" ref="F146:L146" si="23">SUM(F143:F145)</f>
        <v>13950</v>
      </c>
      <c r="G146" s="226">
        <f t="shared" si="23"/>
        <v>14345</v>
      </c>
      <c r="H146" s="226">
        <f t="shared" si="23"/>
        <v>12343</v>
      </c>
      <c r="I146" s="226">
        <f t="shared" si="23"/>
        <v>14720</v>
      </c>
      <c r="J146" s="226" t="e">
        <f t="shared" si="23"/>
        <v>#REF!</v>
      </c>
      <c r="K146" s="288">
        <f t="shared" si="23"/>
        <v>20190</v>
      </c>
      <c r="L146" s="288">
        <f t="shared" si="23"/>
        <v>12938.19</v>
      </c>
      <c r="M146" s="136">
        <f>(L146/8)*12</f>
        <v>19407.285</v>
      </c>
      <c r="N146" s="288">
        <f>SUM(N143:N145)</f>
        <v>24190</v>
      </c>
    </row>
    <row r="147" spans="1:30" x14ac:dyDescent="0.25">
      <c r="A147" s="257">
        <v>590.01</v>
      </c>
      <c r="B147" s="203" t="s">
        <v>173</v>
      </c>
      <c r="C147" s="349"/>
      <c r="D147" s="344"/>
      <c r="E147" s="349"/>
      <c r="F147" s="344"/>
      <c r="G147" s="256">
        <v>500</v>
      </c>
      <c r="H147" s="256">
        <v>0</v>
      </c>
      <c r="I147" s="204">
        <v>500</v>
      </c>
      <c r="J147" s="204">
        <f>SUM('Budget Req-PD'!E62)</f>
        <v>500</v>
      </c>
      <c r="K147" s="204">
        <v>500</v>
      </c>
      <c r="L147" s="204">
        <v>424.61</v>
      </c>
      <c r="M147" s="204">
        <f t="shared" si="17"/>
        <v>636.91499999999996</v>
      </c>
      <c r="N147" s="204">
        <v>500</v>
      </c>
    </row>
    <row r="148" spans="1:30" x14ac:dyDescent="0.25">
      <c r="A148" s="257">
        <v>590.02</v>
      </c>
      <c r="B148" s="203" t="s">
        <v>286</v>
      </c>
      <c r="C148" s="349"/>
      <c r="D148" s="344"/>
      <c r="E148" s="349"/>
      <c r="F148" s="344">
        <v>25500</v>
      </c>
      <c r="G148" s="256">
        <v>13150</v>
      </c>
      <c r="H148" s="256">
        <v>10211</v>
      </c>
      <c r="I148" s="226">
        <v>13150</v>
      </c>
      <c r="J148" s="204" t="e">
        <f>SUM('Budget Req-PD'!#REF!)</f>
        <v>#REF!</v>
      </c>
      <c r="K148" s="204">
        <v>30000</v>
      </c>
      <c r="L148" s="204">
        <v>34690.29</v>
      </c>
      <c r="M148" s="204">
        <f t="shared" si="17"/>
        <v>52035.434999999998</v>
      </c>
      <c r="N148" s="204">
        <v>30000</v>
      </c>
    </row>
    <row r="149" spans="1:30" x14ac:dyDescent="0.25">
      <c r="A149" s="257">
        <v>590.04</v>
      </c>
      <c r="B149" s="203" t="s">
        <v>175</v>
      </c>
      <c r="C149" s="349"/>
      <c r="D149" s="344"/>
      <c r="E149" s="349"/>
      <c r="F149" s="344">
        <v>21338</v>
      </c>
      <c r="G149" s="256">
        <v>45757</v>
      </c>
      <c r="H149" s="256">
        <v>47160</v>
      </c>
      <c r="I149" s="226">
        <v>47160</v>
      </c>
      <c r="J149" s="204" t="e">
        <f>SUM('Budget Req-PD'!#REF!)</f>
        <v>#REF!</v>
      </c>
      <c r="K149" s="226">
        <v>47650</v>
      </c>
      <c r="L149" s="226">
        <v>49312.47</v>
      </c>
      <c r="M149" s="204">
        <f t="shared" si="17"/>
        <v>73968.705000000002</v>
      </c>
      <c r="N149" s="226">
        <v>45000</v>
      </c>
    </row>
    <row r="150" spans="1:30" ht="18.75" thickBot="1" x14ac:dyDescent="0.3">
      <c r="A150" s="443" t="s">
        <v>236</v>
      </c>
      <c r="B150" s="341"/>
      <c r="C150" s="241"/>
      <c r="D150" s="240"/>
      <c r="E150" s="241"/>
      <c r="F150" s="240">
        <f>SUM(F148:F149)</f>
        <v>46838</v>
      </c>
      <c r="G150" s="281">
        <f t="shared" ref="G150:L150" si="24">SUM(G147:G149)</f>
        <v>59407</v>
      </c>
      <c r="H150" s="281">
        <f t="shared" si="24"/>
        <v>57371</v>
      </c>
      <c r="I150" s="281">
        <f t="shared" si="24"/>
        <v>60810</v>
      </c>
      <c r="J150" s="281" t="e">
        <f t="shared" si="24"/>
        <v>#REF!</v>
      </c>
      <c r="K150" s="307">
        <f t="shared" si="24"/>
        <v>78150</v>
      </c>
      <c r="L150" s="419">
        <f t="shared" si="24"/>
        <v>84427.37</v>
      </c>
      <c r="M150" s="304">
        <f t="shared" si="17"/>
        <v>126641.05499999999</v>
      </c>
      <c r="N150" s="304">
        <f>SUM(N147:N149)</f>
        <v>75500</v>
      </c>
    </row>
    <row r="151" spans="1:30" ht="18.75" thickBot="1" x14ac:dyDescent="0.3">
      <c r="A151" s="592" t="s">
        <v>186</v>
      </c>
      <c r="B151" s="593"/>
      <c r="C151" s="149">
        <f>SUM(C109:C150)</f>
        <v>458940</v>
      </c>
      <c r="D151" s="154">
        <f>SUM(D109:D150)</f>
        <v>243971</v>
      </c>
      <c r="E151" s="154">
        <f>SUM(E109:E150)</f>
        <v>365954</v>
      </c>
      <c r="F151" s="154">
        <f t="shared" ref="F151:N151" si="25">SUM(F118+F128+F136+F138+F142+F146+F150)</f>
        <v>693506.04</v>
      </c>
      <c r="G151" s="155">
        <f t="shared" si="25"/>
        <v>974850</v>
      </c>
      <c r="H151" s="155">
        <f t="shared" si="25"/>
        <v>654918</v>
      </c>
      <c r="I151" s="155">
        <f t="shared" si="25"/>
        <v>966686.08197142859</v>
      </c>
      <c r="J151" s="155" t="e">
        <f t="shared" si="25"/>
        <v>#REF!</v>
      </c>
      <c r="K151" s="155">
        <f t="shared" si="25"/>
        <v>1125188.6735999999</v>
      </c>
      <c r="L151" s="347">
        <f t="shared" si="25"/>
        <v>728744.79999999993</v>
      </c>
      <c r="M151" s="104">
        <f t="shared" si="17"/>
        <v>1093117.2</v>
      </c>
      <c r="N151" s="155">
        <f t="shared" si="25"/>
        <v>1230481</v>
      </c>
    </row>
    <row r="152" spans="1:30" x14ac:dyDescent="0.25">
      <c r="A152" s="1"/>
      <c r="B152" s="1"/>
      <c r="C152" s="1"/>
      <c r="D152" s="1"/>
      <c r="E152" s="1"/>
      <c r="F152" s="1"/>
      <c r="G152" s="187"/>
      <c r="H152" s="187"/>
      <c r="I152" s="187"/>
      <c r="J152" s="187"/>
      <c r="K152" s="187"/>
    </row>
    <row r="153" spans="1:30" x14ac:dyDescent="0.25">
      <c r="A153" s="605"/>
      <c r="B153" s="606"/>
      <c r="C153" s="606"/>
      <c r="D153" s="606"/>
      <c r="E153" s="606"/>
      <c r="F153" s="591"/>
      <c r="G153" s="267"/>
      <c r="H153" s="88"/>
      <c r="I153" s="87"/>
      <c r="J153" s="87" t="s">
        <v>778</v>
      </c>
      <c r="K153" s="87" t="s">
        <v>767</v>
      </c>
      <c r="L153" s="79"/>
      <c r="M153" s="87" t="s">
        <v>655</v>
      </c>
      <c r="N153" s="87" t="s">
        <v>802</v>
      </c>
    </row>
    <row r="154" spans="1:30" x14ac:dyDescent="0.25">
      <c r="A154" s="81" t="s">
        <v>176</v>
      </c>
      <c r="B154" s="82"/>
      <c r="C154" s="96" t="s">
        <v>27</v>
      </c>
      <c r="D154" s="82" t="s">
        <v>26</v>
      </c>
      <c r="E154" s="82" t="s">
        <v>25</v>
      </c>
      <c r="F154" s="89" t="s">
        <v>338</v>
      </c>
      <c r="G154" s="90" t="s">
        <v>650</v>
      </c>
      <c r="H154" s="90" t="s">
        <v>654</v>
      </c>
      <c r="I154" s="266" t="s">
        <v>775</v>
      </c>
      <c r="J154" s="90" t="s">
        <v>656</v>
      </c>
      <c r="K154" s="90" t="s">
        <v>766</v>
      </c>
      <c r="L154" s="83" t="s">
        <v>779</v>
      </c>
      <c r="M154" s="458">
        <v>43373</v>
      </c>
      <c r="N154" s="90" t="s">
        <v>803</v>
      </c>
    </row>
    <row r="155" spans="1:30" x14ac:dyDescent="0.25">
      <c r="A155" s="348" t="s">
        <v>177</v>
      </c>
      <c r="B155" s="344" t="s">
        <v>5</v>
      </c>
      <c r="C155" s="344">
        <v>22000</v>
      </c>
      <c r="D155" s="344">
        <v>13581</v>
      </c>
      <c r="E155" s="344">
        <v>20375</v>
      </c>
      <c r="F155" s="327">
        <v>24996</v>
      </c>
      <c r="G155" s="256">
        <v>36460</v>
      </c>
      <c r="H155" s="256">
        <v>25222</v>
      </c>
      <c r="I155" s="226">
        <f>+H155+(2800*4)</f>
        <v>36422</v>
      </c>
      <c r="J155" s="226">
        <f>SUM('Personnel Sched-Animal Cont'!I14)*1.02-2600</f>
        <v>39284.464000000007</v>
      </c>
      <c r="K155" s="204">
        <v>36887</v>
      </c>
      <c r="L155" s="204">
        <v>25112.639999999999</v>
      </c>
      <c r="M155" s="226">
        <f>SUM(L155/8)*12</f>
        <v>37668.959999999999</v>
      </c>
      <c r="N155" s="226">
        <v>41063</v>
      </c>
    </row>
    <row r="156" spans="1:30" x14ac:dyDescent="0.25">
      <c r="A156" s="476">
        <v>510.03</v>
      </c>
      <c r="B156" s="327" t="s">
        <v>127</v>
      </c>
      <c r="C156" s="327">
        <v>1475</v>
      </c>
      <c r="D156" s="327">
        <v>975.62</v>
      </c>
      <c r="E156" s="327">
        <v>1463</v>
      </c>
      <c r="F156" s="327">
        <v>200</v>
      </c>
      <c r="G156" s="340">
        <v>10000</v>
      </c>
      <c r="H156" s="340">
        <v>5985</v>
      </c>
      <c r="I156" s="226">
        <v>10000</v>
      </c>
      <c r="J156" s="226" t="e">
        <f>SUM('Budget Req-Animal Cont.'!#REF!)</f>
        <v>#REF!</v>
      </c>
      <c r="K156" s="226">
        <v>15000</v>
      </c>
      <c r="L156" s="226">
        <v>5887.71</v>
      </c>
      <c r="M156" s="226">
        <f t="shared" ref="M156:M179" si="26">SUM(L156/8)*12</f>
        <v>8831.5650000000005</v>
      </c>
      <c r="N156" s="226">
        <v>15000</v>
      </c>
    </row>
    <row r="157" spans="1:30" s="242" customFormat="1" ht="18" customHeight="1" x14ac:dyDescent="0.25">
      <c r="A157" s="476">
        <v>510.05</v>
      </c>
      <c r="B157" s="327" t="s">
        <v>164</v>
      </c>
      <c r="C157" s="327">
        <v>1200</v>
      </c>
      <c r="D157" s="327">
        <v>705</v>
      </c>
      <c r="E157" s="327">
        <v>1100</v>
      </c>
      <c r="F157" s="327">
        <v>6499</v>
      </c>
      <c r="G157" s="340">
        <v>7647</v>
      </c>
      <c r="H157" s="340">
        <v>4315</v>
      </c>
      <c r="I157" s="226">
        <f>+H157+3300</f>
        <v>7615</v>
      </c>
      <c r="J157" s="226" t="e">
        <f>SUM('Budget Req-Animal Cont.'!#REF!)</f>
        <v>#REF!</v>
      </c>
      <c r="K157" s="226">
        <v>8497</v>
      </c>
      <c r="L157" s="226">
        <v>6420.7</v>
      </c>
      <c r="M157" s="226">
        <f t="shared" si="26"/>
        <v>9631.0499999999993</v>
      </c>
      <c r="N157" s="204">
        <v>11104</v>
      </c>
    </row>
    <row r="158" spans="1:30" s="242" customFormat="1" ht="18" customHeight="1" x14ac:dyDescent="0.25">
      <c r="A158" s="476">
        <v>510.06</v>
      </c>
      <c r="B158" s="327" t="s">
        <v>17</v>
      </c>
      <c r="C158" s="327">
        <v>4000</v>
      </c>
      <c r="D158" s="327">
        <v>2740</v>
      </c>
      <c r="E158" s="327">
        <v>4100</v>
      </c>
      <c r="F158" s="327">
        <v>1912.19</v>
      </c>
      <c r="G158" s="340">
        <v>2988</v>
      </c>
      <c r="H158" s="340">
        <v>1845</v>
      </c>
      <c r="I158" s="226">
        <f>+I155*0.077</f>
        <v>2804.4940000000001</v>
      </c>
      <c r="J158" s="226">
        <f>SUM('Budget Req-Animal Cont.'!E17)</f>
        <v>3235.5748440000002</v>
      </c>
      <c r="K158" s="226">
        <v>3147</v>
      </c>
      <c r="L158" s="226">
        <v>1546.09</v>
      </c>
      <c r="M158" s="226">
        <f t="shared" si="26"/>
        <v>2319.1349999999998</v>
      </c>
      <c r="N158" s="204">
        <v>3141</v>
      </c>
      <c r="U158" s="97"/>
      <c r="V158" s="97"/>
      <c r="W158" s="92"/>
      <c r="X158" s="98"/>
      <c r="Y158" s="98"/>
      <c r="Z158" s="98"/>
      <c r="AA158" s="95"/>
      <c r="AB158" s="98"/>
      <c r="AC158" s="98"/>
      <c r="AD158" s="1"/>
    </row>
    <row r="159" spans="1:30" s="242" customFormat="1" ht="18" customHeight="1" x14ac:dyDescent="0.25">
      <c r="A159" s="476">
        <v>510.07</v>
      </c>
      <c r="B159" s="327" t="s">
        <v>130</v>
      </c>
      <c r="C159" s="327">
        <v>1000</v>
      </c>
      <c r="D159" s="327">
        <v>655</v>
      </c>
      <c r="E159" s="327">
        <v>982</v>
      </c>
      <c r="F159" s="327">
        <v>1062.33</v>
      </c>
      <c r="G159" s="340">
        <v>1988</v>
      </c>
      <c r="H159" s="340">
        <v>998</v>
      </c>
      <c r="I159" s="226">
        <f>+I155*0.0502</f>
        <v>1828.3844000000001</v>
      </c>
      <c r="J159" s="226">
        <f>SUM('Budget Req-Animal Cont.'!E18)</f>
        <v>1789.33248</v>
      </c>
      <c r="K159" s="226">
        <f>SUM(K155*0.0509)</f>
        <v>1877.5482999999999</v>
      </c>
      <c r="L159" s="226">
        <v>918.12</v>
      </c>
      <c r="M159" s="226">
        <f t="shared" si="26"/>
        <v>1377.18</v>
      </c>
      <c r="N159" s="204">
        <v>1905</v>
      </c>
      <c r="U159" s="1"/>
      <c r="V159" s="1"/>
      <c r="W159" s="1"/>
      <c r="X159" s="1"/>
      <c r="Y159" s="1"/>
      <c r="Z159" s="1"/>
      <c r="AA159" s="188"/>
      <c r="AB159" s="1"/>
      <c r="AC159" s="1"/>
      <c r="AD159" s="1"/>
    </row>
    <row r="160" spans="1:30" s="91" customFormat="1" ht="18" customHeight="1" x14ac:dyDescent="0.25">
      <c r="A160" s="476">
        <v>510.08</v>
      </c>
      <c r="B160" s="327" t="s">
        <v>278</v>
      </c>
      <c r="C160" s="327"/>
      <c r="D160" s="327"/>
      <c r="E160" s="327"/>
      <c r="F160" s="327">
        <v>587</v>
      </c>
      <c r="G160" s="340">
        <v>1030</v>
      </c>
      <c r="H160" s="340">
        <v>836</v>
      </c>
      <c r="I160" s="226">
        <v>1500</v>
      </c>
      <c r="J160" s="226">
        <f>SUM('Budget Req-Animal Cont.'!E19)</f>
        <v>1080.3866112000003</v>
      </c>
      <c r="K160" s="226">
        <v>1049</v>
      </c>
      <c r="L160" s="226">
        <v>1072.45</v>
      </c>
      <c r="M160" s="226">
        <f t="shared" si="26"/>
        <v>1608.6750000000002</v>
      </c>
      <c r="N160" s="204">
        <v>2000</v>
      </c>
      <c r="O160" s="93"/>
      <c r="P160" s="93"/>
      <c r="Q160" s="93"/>
      <c r="R160" s="93"/>
      <c r="S160" s="93"/>
      <c r="T160" s="93"/>
      <c r="U160" s="600"/>
      <c r="V160" s="601"/>
      <c r="W160" s="601"/>
      <c r="X160" s="601"/>
      <c r="Y160" s="601"/>
      <c r="Z160" s="601"/>
      <c r="AA160" s="99"/>
      <c r="AB160" s="100"/>
      <c r="AC160" s="175"/>
      <c r="AD160" s="1"/>
    </row>
    <row r="161" spans="1:40" ht="18" customHeight="1" x14ac:dyDescent="0.25">
      <c r="A161" s="476">
        <v>510.11</v>
      </c>
      <c r="B161" s="327" t="s">
        <v>165</v>
      </c>
      <c r="C161" s="327">
        <v>1500</v>
      </c>
      <c r="D161" s="327">
        <v>962</v>
      </c>
      <c r="E161" s="327">
        <v>1443</v>
      </c>
      <c r="F161" s="327">
        <v>0</v>
      </c>
      <c r="G161" s="340">
        <v>0</v>
      </c>
      <c r="H161" s="340">
        <v>100</v>
      </c>
      <c r="I161" s="226">
        <v>100</v>
      </c>
      <c r="J161" s="226">
        <v>0</v>
      </c>
      <c r="K161" s="226">
        <v>0</v>
      </c>
      <c r="L161" s="226">
        <v>0</v>
      </c>
      <c r="M161" s="226">
        <f t="shared" si="26"/>
        <v>0</v>
      </c>
      <c r="N161" s="204">
        <v>200</v>
      </c>
      <c r="U161" s="279"/>
      <c r="V161" s="1"/>
      <c r="W161" s="219"/>
      <c r="X161" s="188"/>
      <c r="Y161" s="219"/>
      <c r="Z161" s="188"/>
      <c r="AA161" s="189"/>
      <c r="AB161" s="189"/>
      <c r="AC161" s="188"/>
      <c r="AD161" s="1"/>
    </row>
    <row r="162" spans="1:40" ht="18" customHeight="1" x14ac:dyDescent="0.25">
      <c r="A162" s="476">
        <v>510.12</v>
      </c>
      <c r="B162" s="327" t="s">
        <v>429</v>
      </c>
      <c r="C162" s="327"/>
      <c r="D162" s="327"/>
      <c r="E162" s="327"/>
      <c r="F162" s="327">
        <v>0</v>
      </c>
      <c r="G162" s="340">
        <v>300</v>
      </c>
      <c r="H162" s="340">
        <v>0</v>
      </c>
      <c r="I162" s="226">
        <v>300</v>
      </c>
      <c r="J162" s="226">
        <f>SUM('Budget Req-Animal Cont.'!E20)</f>
        <v>300</v>
      </c>
      <c r="K162" s="226">
        <v>600</v>
      </c>
      <c r="L162" s="226">
        <v>0</v>
      </c>
      <c r="M162" s="226">
        <f t="shared" si="26"/>
        <v>0</v>
      </c>
      <c r="N162" s="204">
        <v>750</v>
      </c>
      <c r="U162" s="278"/>
      <c r="V162" s="1"/>
      <c r="W162" s="219"/>
      <c r="X162" s="188"/>
      <c r="Y162" s="219"/>
      <c r="Z162" s="188"/>
      <c r="AA162" s="189"/>
      <c r="AB162" s="189"/>
      <c r="AC162" s="188"/>
      <c r="AD162" s="1"/>
    </row>
    <row r="163" spans="1:40" ht="18" customHeight="1" x14ac:dyDescent="0.25">
      <c r="A163" s="408" t="s">
        <v>178</v>
      </c>
      <c r="B163" s="351"/>
      <c r="C163" s="248"/>
      <c r="D163" s="248"/>
      <c r="E163" s="248"/>
      <c r="F163" s="248">
        <f t="shared" ref="F163:L163" si="27">SUM(F155:F162)</f>
        <v>35256.520000000004</v>
      </c>
      <c r="G163" s="201">
        <f t="shared" si="27"/>
        <v>60413</v>
      </c>
      <c r="H163" s="201">
        <f t="shared" si="27"/>
        <v>39301</v>
      </c>
      <c r="I163" s="201">
        <f t="shared" si="27"/>
        <v>60569.878400000001</v>
      </c>
      <c r="J163" s="201" t="e">
        <f t="shared" si="27"/>
        <v>#REF!</v>
      </c>
      <c r="K163" s="309">
        <f t="shared" si="27"/>
        <v>67057.548299999995</v>
      </c>
      <c r="L163" s="309">
        <f t="shared" si="27"/>
        <v>40957.709999999992</v>
      </c>
      <c r="M163" s="288">
        <f t="shared" si="26"/>
        <v>61436.564999999988</v>
      </c>
      <c r="N163" s="136">
        <f>SUM(N155:N162)</f>
        <v>75163</v>
      </c>
      <c r="U163" s="1"/>
      <c r="V163" s="1"/>
      <c r="W163" s="219"/>
      <c r="X163" s="188"/>
      <c r="Y163" s="219"/>
      <c r="Z163" s="188"/>
      <c r="AA163" s="189"/>
      <c r="AB163" s="189"/>
      <c r="AC163" s="188"/>
      <c r="AD163" s="1"/>
    </row>
    <row r="164" spans="1:40" ht="18" customHeight="1" x14ac:dyDescent="0.25">
      <c r="A164" s="315">
        <v>520.01</v>
      </c>
      <c r="B164" s="327" t="s">
        <v>133</v>
      </c>
      <c r="C164" s="327">
        <v>1500</v>
      </c>
      <c r="D164" s="327">
        <v>933</v>
      </c>
      <c r="E164" s="327">
        <v>1400</v>
      </c>
      <c r="F164" s="327">
        <v>400</v>
      </c>
      <c r="G164" s="340">
        <v>250</v>
      </c>
      <c r="H164" s="340">
        <v>0</v>
      </c>
      <c r="I164" s="226">
        <v>250</v>
      </c>
      <c r="J164" s="226">
        <v>250</v>
      </c>
      <c r="K164" s="226">
        <v>250</v>
      </c>
      <c r="L164" s="226">
        <v>0</v>
      </c>
      <c r="M164" s="226">
        <f t="shared" si="26"/>
        <v>0</v>
      </c>
      <c r="N164" s="226">
        <v>250</v>
      </c>
      <c r="U164" s="1"/>
      <c r="V164" s="1"/>
      <c r="W164" s="219"/>
      <c r="X164" s="188"/>
      <c r="Y164" s="219"/>
      <c r="Z164" s="188"/>
      <c r="AA164" s="189"/>
      <c r="AB164" s="189"/>
      <c r="AC164" s="188"/>
      <c r="AD164" s="1"/>
    </row>
    <row r="165" spans="1:40" ht="18" customHeight="1" x14ac:dyDescent="0.25">
      <c r="A165" s="315">
        <v>520.03</v>
      </c>
      <c r="B165" s="327" t="s">
        <v>672</v>
      </c>
      <c r="C165" s="327"/>
      <c r="D165" s="327"/>
      <c r="E165" s="327"/>
      <c r="F165" s="327"/>
      <c r="G165" s="340">
        <v>0</v>
      </c>
      <c r="H165" s="340">
        <v>22</v>
      </c>
      <c r="I165" s="226">
        <v>100</v>
      </c>
      <c r="J165" s="226">
        <v>100</v>
      </c>
      <c r="K165" s="226">
        <v>100</v>
      </c>
      <c r="L165" s="226">
        <v>30</v>
      </c>
      <c r="M165" s="226">
        <f t="shared" si="26"/>
        <v>45</v>
      </c>
      <c r="N165" s="226">
        <v>100</v>
      </c>
      <c r="U165" s="1"/>
      <c r="V165" s="1"/>
      <c r="W165" s="219"/>
      <c r="X165" s="188"/>
      <c r="Y165" s="219"/>
      <c r="Z165" s="188"/>
      <c r="AA165" s="189"/>
      <c r="AB165" s="189"/>
      <c r="AC165" s="188"/>
      <c r="AD165" s="1"/>
    </row>
    <row r="166" spans="1:40" ht="18" customHeight="1" x14ac:dyDescent="0.25">
      <c r="A166" s="315">
        <v>520.04</v>
      </c>
      <c r="B166" s="327" t="s">
        <v>167</v>
      </c>
      <c r="C166" s="327">
        <v>1000</v>
      </c>
      <c r="D166" s="327">
        <v>969</v>
      </c>
      <c r="E166" s="327">
        <v>1000</v>
      </c>
      <c r="F166" s="327">
        <v>850</v>
      </c>
      <c r="G166" s="340">
        <v>1500</v>
      </c>
      <c r="H166" s="340">
        <v>863</v>
      </c>
      <c r="I166" s="226">
        <v>1500</v>
      </c>
      <c r="J166" s="226" t="e">
        <f>SUM('Budget Req-Animal Cont.'!#REF!)</f>
        <v>#REF!</v>
      </c>
      <c r="K166" s="226">
        <v>1500</v>
      </c>
      <c r="L166" s="226">
        <v>890.38</v>
      </c>
      <c r="M166" s="226">
        <f t="shared" si="26"/>
        <v>1335.57</v>
      </c>
      <c r="N166" s="226">
        <v>1500</v>
      </c>
      <c r="O166" s="1"/>
      <c r="P166" s="1"/>
      <c r="Q166" s="1"/>
      <c r="R166" s="1"/>
      <c r="S166" s="1"/>
      <c r="AE166" s="1"/>
      <c r="AF166" s="1"/>
      <c r="AG166" s="219"/>
      <c r="AH166" s="188"/>
      <c r="AI166" s="219"/>
      <c r="AJ166" s="185"/>
      <c r="AK166" s="189"/>
      <c r="AL166" s="189"/>
      <c r="AM166" s="185"/>
      <c r="AN166" s="1"/>
    </row>
    <row r="167" spans="1:40" ht="18" customHeight="1" x14ac:dyDescent="0.25">
      <c r="A167" s="257">
        <v>520.05999999999995</v>
      </c>
      <c r="B167" s="344" t="s">
        <v>168</v>
      </c>
      <c r="C167" s="344">
        <v>550</v>
      </c>
      <c r="D167" s="344">
        <v>1749</v>
      </c>
      <c r="E167" s="344">
        <v>1750</v>
      </c>
      <c r="F167" s="344">
        <v>3500</v>
      </c>
      <c r="G167" s="256">
        <v>1000</v>
      </c>
      <c r="H167" s="256">
        <v>669</v>
      </c>
      <c r="I167" s="204">
        <v>1000</v>
      </c>
      <c r="J167" s="204">
        <v>1000</v>
      </c>
      <c r="K167" s="226">
        <v>1000</v>
      </c>
      <c r="L167" s="226">
        <v>961.18</v>
      </c>
      <c r="M167" s="226">
        <f t="shared" si="26"/>
        <v>1441.77</v>
      </c>
      <c r="N167" s="226">
        <v>2000</v>
      </c>
      <c r="O167" s="1"/>
      <c r="P167" s="1"/>
      <c r="Q167" s="1"/>
      <c r="R167" s="1"/>
      <c r="S167" s="1"/>
      <c r="AE167" s="1"/>
      <c r="AF167" s="1"/>
      <c r="AG167" s="219"/>
      <c r="AH167" s="188"/>
      <c r="AI167" s="219"/>
      <c r="AJ167" s="185"/>
      <c r="AK167" s="189"/>
      <c r="AL167" s="189"/>
      <c r="AM167" s="185"/>
      <c r="AN167" s="186"/>
    </row>
    <row r="168" spans="1:40" ht="18" customHeight="1" x14ac:dyDescent="0.25">
      <c r="A168" s="257">
        <v>520.07000000000005</v>
      </c>
      <c r="B168" s="344" t="s">
        <v>179</v>
      </c>
      <c r="C168" s="344">
        <v>4000</v>
      </c>
      <c r="D168" s="344">
        <v>2067</v>
      </c>
      <c r="E168" s="344">
        <v>3100</v>
      </c>
      <c r="F168" s="344">
        <v>350</v>
      </c>
      <c r="G168" s="256">
        <v>300</v>
      </c>
      <c r="H168" s="256">
        <v>468</v>
      </c>
      <c r="I168" s="204">
        <v>500</v>
      </c>
      <c r="J168" s="204">
        <v>300</v>
      </c>
      <c r="K168" s="226">
        <v>300</v>
      </c>
      <c r="L168" s="226">
        <v>308.24</v>
      </c>
      <c r="M168" s="226">
        <f t="shared" si="26"/>
        <v>462.36</v>
      </c>
      <c r="N168" s="226">
        <v>500</v>
      </c>
      <c r="O168" s="1"/>
      <c r="P168" s="1"/>
      <c r="Q168" s="1"/>
      <c r="R168" s="1"/>
      <c r="S168" s="1"/>
      <c r="AE168" s="1"/>
      <c r="AF168" s="1"/>
      <c r="AG168" s="219"/>
      <c r="AH168" s="188"/>
      <c r="AI168" s="219"/>
      <c r="AJ168" s="188"/>
      <c r="AK168" s="189"/>
      <c r="AL168" s="189"/>
      <c r="AM168" s="188"/>
      <c r="AN168" s="186"/>
    </row>
    <row r="169" spans="1:40" ht="18" customHeight="1" x14ac:dyDescent="0.25">
      <c r="A169" s="257">
        <v>520.08000000000004</v>
      </c>
      <c r="B169" s="344" t="s">
        <v>170</v>
      </c>
      <c r="C169" s="344">
        <v>1500</v>
      </c>
      <c r="D169" s="344">
        <v>842</v>
      </c>
      <c r="E169" s="344">
        <v>1263</v>
      </c>
      <c r="F169" s="344">
        <v>150</v>
      </c>
      <c r="G169" s="256">
        <v>1500</v>
      </c>
      <c r="H169" s="256">
        <v>959</v>
      </c>
      <c r="I169" s="204">
        <v>1500</v>
      </c>
      <c r="J169" s="204">
        <v>1500</v>
      </c>
      <c r="K169" s="204">
        <v>1500</v>
      </c>
      <c r="L169" s="204">
        <v>931.74</v>
      </c>
      <c r="M169" s="226">
        <f t="shared" si="26"/>
        <v>1397.6100000000001</v>
      </c>
      <c r="N169" s="204">
        <v>2000</v>
      </c>
      <c r="O169" s="1"/>
      <c r="P169" s="1"/>
      <c r="Q169" s="1"/>
      <c r="R169" s="1"/>
      <c r="S169" s="1"/>
      <c r="AE169" s="1"/>
      <c r="AF169" s="1"/>
      <c r="AG169" s="219"/>
      <c r="AH169" s="188"/>
      <c r="AI169" s="219"/>
      <c r="AJ169" s="188"/>
      <c r="AK169" s="189"/>
      <c r="AL169" s="189"/>
      <c r="AM169" s="188"/>
      <c r="AN169" s="186"/>
    </row>
    <row r="170" spans="1:40" ht="18" customHeight="1" x14ac:dyDescent="0.25">
      <c r="A170" s="257">
        <v>520.09</v>
      </c>
      <c r="B170" s="344" t="s">
        <v>180</v>
      </c>
      <c r="C170" s="344">
        <v>4000</v>
      </c>
      <c r="D170" s="344">
        <v>985</v>
      </c>
      <c r="E170" s="344">
        <v>1477</v>
      </c>
      <c r="F170" s="344">
        <v>1000</v>
      </c>
      <c r="G170" s="256">
        <v>200</v>
      </c>
      <c r="H170" s="256">
        <v>0</v>
      </c>
      <c r="I170" s="204">
        <v>200</v>
      </c>
      <c r="J170" s="204">
        <v>100</v>
      </c>
      <c r="K170" s="204">
        <v>100</v>
      </c>
      <c r="L170" s="204">
        <v>0</v>
      </c>
      <c r="M170" s="226">
        <f t="shared" si="26"/>
        <v>0</v>
      </c>
      <c r="N170" s="204">
        <v>100</v>
      </c>
      <c r="O170" s="1"/>
      <c r="P170" s="1"/>
      <c r="Q170" s="1"/>
      <c r="R170" s="1"/>
      <c r="S170" s="1"/>
      <c r="AE170" s="1"/>
      <c r="AF170" s="1"/>
      <c r="AG170" s="219"/>
      <c r="AH170" s="188"/>
      <c r="AI170" s="219"/>
      <c r="AJ170" s="188"/>
      <c r="AK170" s="189"/>
      <c r="AL170" s="189"/>
      <c r="AM170" s="188"/>
      <c r="AN170" s="1"/>
    </row>
    <row r="171" spans="1:40" ht="18" customHeight="1" x14ac:dyDescent="0.25">
      <c r="A171" s="409" t="s">
        <v>181</v>
      </c>
      <c r="B171" s="410"/>
      <c r="C171" s="101"/>
      <c r="D171" s="101"/>
      <c r="E171" s="101"/>
      <c r="F171" s="101">
        <f t="shared" ref="F171:L171" si="28">SUM(F164:F170)</f>
        <v>6250</v>
      </c>
      <c r="G171" s="314">
        <f t="shared" si="28"/>
        <v>4750</v>
      </c>
      <c r="H171" s="314">
        <f t="shared" si="28"/>
        <v>2981</v>
      </c>
      <c r="I171" s="314">
        <f t="shared" si="28"/>
        <v>5050</v>
      </c>
      <c r="J171" s="314" t="e">
        <f t="shared" si="28"/>
        <v>#REF!</v>
      </c>
      <c r="K171" s="314">
        <f t="shared" si="28"/>
        <v>4750</v>
      </c>
      <c r="L171" s="314">
        <f t="shared" si="28"/>
        <v>3121.54</v>
      </c>
      <c r="M171" s="288">
        <f t="shared" si="26"/>
        <v>4682.3099999999995</v>
      </c>
      <c r="N171" s="314">
        <f>SUM(N164:N170)</f>
        <v>6450</v>
      </c>
      <c r="O171" s="219"/>
      <c r="P171" s="185"/>
      <c r="Q171" s="189"/>
      <c r="R171" s="189"/>
      <c r="S171" s="185"/>
      <c r="T171" s="1"/>
    </row>
    <row r="172" spans="1:40" ht="18" customHeight="1" x14ac:dyDescent="0.25">
      <c r="A172" s="257">
        <v>530.01</v>
      </c>
      <c r="B172" s="344" t="s">
        <v>171</v>
      </c>
      <c r="C172" s="344">
        <v>100</v>
      </c>
      <c r="D172" s="344">
        <v>25</v>
      </c>
      <c r="E172" s="344">
        <v>50</v>
      </c>
      <c r="F172" s="344">
        <v>1200</v>
      </c>
      <c r="G172" s="204">
        <v>2400</v>
      </c>
      <c r="H172" s="256">
        <v>1798</v>
      </c>
      <c r="I172" s="204">
        <v>3000</v>
      </c>
      <c r="J172" s="204">
        <v>3000</v>
      </c>
      <c r="K172" s="204">
        <v>3000</v>
      </c>
      <c r="L172" s="204">
        <v>1927.44</v>
      </c>
      <c r="M172" s="226">
        <f t="shared" si="26"/>
        <v>2891.16</v>
      </c>
      <c r="N172" s="204">
        <v>3000</v>
      </c>
      <c r="O172" s="219"/>
      <c r="P172" s="188"/>
      <c r="Q172" s="189"/>
      <c r="R172" s="189"/>
      <c r="S172" s="188"/>
      <c r="T172" s="1"/>
    </row>
    <row r="173" spans="1:40" ht="18" customHeight="1" x14ac:dyDescent="0.25">
      <c r="A173" s="257">
        <v>530.05999999999995</v>
      </c>
      <c r="B173" s="344" t="s">
        <v>811</v>
      </c>
      <c r="C173" s="344"/>
      <c r="D173" s="344"/>
      <c r="E173" s="344"/>
      <c r="F173" s="344"/>
      <c r="G173" s="204"/>
      <c r="H173" s="256"/>
      <c r="I173" s="204"/>
      <c r="J173" s="204"/>
      <c r="K173" s="204">
        <v>150</v>
      </c>
      <c r="L173" s="204">
        <v>0</v>
      </c>
      <c r="M173" s="226">
        <f t="shared" si="26"/>
        <v>0</v>
      </c>
      <c r="N173" s="204">
        <v>150</v>
      </c>
      <c r="O173" s="219"/>
      <c r="P173" s="188"/>
      <c r="Q173" s="189"/>
      <c r="R173" s="189"/>
      <c r="S173" s="188"/>
      <c r="T173" s="1"/>
    </row>
    <row r="174" spans="1:40" ht="18" customHeight="1" x14ac:dyDescent="0.25">
      <c r="A174" s="257">
        <v>530.08000000000004</v>
      </c>
      <c r="B174" s="344" t="s">
        <v>182</v>
      </c>
      <c r="C174" s="344">
        <v>250</v>
      </c>
      <c r="D174" s="344">
        <v>0</v>
      </c>
      <c r="E174" s="344">
        <v>0</v>
      </c>
      <c r="F174" s="344">
        <v>200</v>
      </c>
      <c r="G174" s="204">
        <v>1300</v>
      </c>
      <c r="H174" s="204">
        <v>847</v>
      </c>
      <c r="I174" s="204">
        <v>1500</v>
      </c>
      <c r="J174" s="226">
        <v>1700</v>
      </c>
      <c r="K174" s="204">
        <v>1700</v>
      </c>
      <c r="L174" s="204">
        <v>1006.84</v>
      </c>
      <c r="M174" s="226">
        <f t="shared" si="26"/>
        <v>1510.26</v>
      </c>
      <c r="N174" s="204">
        <v>2000</v>
      </c>
      <c r="O174" s="220"/>
      <c r="P174" s="185"/>
      <c r="Q174" s="277"/>
      <c r="R174" s="277"/>
      <c r="S174" s="185"/>
      <c r="T174" s="1"/>
    </row>
    <row r="175" spans="1:40" ht="18" customHeight="1" x14ac:dyDescent="0.25">
      <c r="A175" s="257">
        <v>530.1</v>
      </c>
      <c r="B175" s="344" t="s">
        <v>193</v>
      </c>
      <c r="C175" s="344"/>
      <c r="D175" s="344"/>
      <c r="E175" s="344"/>
      <c r="F175" s="344"/>
      <c r="G175" s="204">
        <v>300</v>
      </c>
      <c r="H175" s="204">
        <v>0</v>
      </c>
      <c r="I175" s="204">
        <v>300</v>
      </c>
      <c r="J175" s="204">
        <v>300</v>
      </c>
      <c r="K175" s="204">
        <v>300</v>
      </c>
      <c r="L175" s="204">
        <v>431.02</v>
      </c>
      <c r="M175" s="226">
        <f t="shared" si="26"/>
        <v>646.53</v>
      </c>
      <c r="N175" s="204">
        <v>500</v>
      </c>
      <c r="O175" s="220"/>
      <c r="P175" s="185"/>
      <c r="Q175" s="277"/>
      <c r="R175" s="277"/>
      <c r="S175" s="185"/>
      <c r="T175" s="1"/>
    </row>
    <row r="176" spans="1:40" ht="18" customHeight="1" x14ac:dyDescent="0.25">
      <c r="A176" s="257">
        <v>530.11</v>
      </c>
      <c r="B176" s="344" t="s">
        <v>2</v>
      </c>
      <c r="C176" s="344">
        <v>250</v>
      </c>
      <c r="D176" s="344">
        <v>44</v>
      </c>
      <c r="E176" s="344">
        <v>66</v>
      </c>
      <c r="F176" s="344">
        <v>2500</v>
      </c>
      <c r="G176" s="204">
        <v>800</v>
      </c>
      <c r="H176" s="256">
        <v>458</v>
      </c>
      <c r="I176" s="204">
        <v>800</v>
      </c>
      <c r="J176" s="226">
        <v>800</v>
      </c>
      <c r="K176" s="204">
        <v>800</v>
      </c>
      <c r="L176" s="204">
        <v>246.96</v>
      </c>
      <c r="M176" s="226">
        <f t="shared" si="26"/>
        <v>370.44</v>
      </c>
      <c r="N176" s="204">
        <v>800</v>
      </c>
    </row>
    <row r="177" spans="1:14" ht="18" customHeight="1" x14ac:dyDescent="0.25">
      <c r="A177" s="409" t="s">
        <v>138</v>
      </c>
      <c r="B177" s="410"/>
      <c r="C177" s="101"/>
      <c r="D177" s="101"/>
      <c r="E177" s="101"/>
      <c r="F177" s="101">
        <f t="shared" ref="F177:L177" si="29">SUM(F172:F176)</f>
        <v>3900</v>
      </c>
      <c r="G177" s="314">
        <f t="shared" si="29"/>
        <v>4800</v>
      </c>
      <c r="H177" s="314">
        <f t="shared" si="29"/>
        <v>3103</v>
      </c>
      <c r="I177" s="314">
        <f t="shared" si="29"/>
        <v>5600</v>
      </c>
      <c r="J177" s="314">
        <f t="shared" si="29"/>
        <v>5800</v>
      </c>
      <c r="K177" s="313">
        <f t="shared" si="29"/>
        <v>5950</v>
      </c>
      <c r="L177" s="313">
        <f t="shared" si="29"/>
        <v>3612.26</v>
      </c>
      <c r="M177" s="288">
        <f t="shared" si="26"/>
        <v>5418.39</v>
      </c>
      <c r="N177" s="288">
        <f>SUM(N172:N176)</f>
        <v>6450</v>
      </c>
    </row>
    <row r="178" spans="1:14" ht="18" customHeight="1" x14ac:dyDescent="0.25">
      <c r="A178" s="257">
        <v>540.01</v>
      </c>
      <c r="B178" s="344" t="s">
        <v>153</v>
      </c>
      <c r="C178" s="344">
        <v>600</v>
      </c>
      <c r="D178" s="344">
        <v>303</v>
      </c>
      <c r="E178" s="344">
        <v>455</v>
      </c>
      <c r="F178" s="344">
        <v>250</v>
      </c>
      <c r="G178" s="256">
        <v>1500</v>
      </c>
      <c r="H178" s="256">
        <v>152</v>
      </c>
      <c r="I178" s="204">
        <v>1000</v>
      </c>
      <c r="J178" s="345">
        <v>1500</v>
      </c>
      <c r="K178" s="204">
        <v>1500</v>
      </c>
      <c r="L178" s="204">
        <v>25.56</v>
      </c>
      <c r="M178" s="226">
        <f t="shared" si="26"/>
        <v>38.339999999999996</v>
      </c>
      <c r="N178" s="204">
        <v>6500</v>
      </c>
    </row>
    <row r="179" spans="1:14" ht="18" customHeight="1" x14ac:dyDescent="0.25">
      <c r="A179" s="444" t="s">
        <v>183</v>
      </c>
      <c r="B179" s="445"/>
      <c r="C179" s="101"/>
      <c r="D179" s="101"/>
      <c r="E179" s="101"/>
      <c r="F179" s="101">
        <f t="shared" ref="F179:L179" si="30">SUM(F178:F178)</f>
        <v>250</v>
      </c>
      <c r="G179" s="314">
        <f t="shared" si="30"/>
        <v>1500</v>
      </c>
      <c r="H179" s="314">
        <f t="shared" si="30"/>
        <v>152</v>
      </c>
      <c r="I179" s="314">
        <f t="shared" si="30"/>
        <v>1000</v>
      </c>
      <c r="J179" s="314">
        <f t="shared" si="30"/>
        <v>1500</v>
      </c>
      <c r="K179" s="136">
        <f t="shared" si="30"/>
        <v>1500</v>
      </c>
      <c r="L179" s="136">
        <f t="shared" si="30"/>
        <v>25.56</v>
      </c>
      <c r="M179" s="288">
        <f t="shared" si="26"/>
        <v>38.339999999999996</v>
      </c>
      <c r="N179" s="136">
        <f>SUM(N178)</f>
        <v>6500</v>
      </c>
    </row>
    <row r="180" spans="1:14" ht="18" customHeight="1" x14ac:dyDescent="0.25">
      <c r="A180" s="605"/>
      <c r="B180" s="606"/>
      <c r="C180" s="606"/>
      <c r="D180" s="606"/>
      <c r="E180" s="606"/>
      <c r="F180" s="591"/>
      <c r="G180" s="267"/>
      <c r="H180" s="88"/>
      <c r="I180" s="87"/>
      <c r="J180" s="87" t="s">
        <v>778</v>
      </c>
      <c r="K180" s="87" t="s">
        <v>767</v>
      </c>
      <c r="L180" s="79"/>
      <c r="M180" s="87" t="s">
        <v>655</v>
      </c>
      <c r="N180" s="87" t="s">
        <v>802</v>
      </c>
    </row>
    <row r="181" spans="1:14" ht="18" customHeight="1" x14ac:dyDescent="0.25">
      <c r="A181" s="81" t="s">
        <v>176</v>
      </c>
      <c r="B181" s="82"/>
      <c r="C181" s="96" t="s">
        <v>27</v>
      </c>
      <c r="D181" s="82" t="s">
        <v>26</v>
      </c>
      <c r="E181" s="82" t="s">
        <v>25</v>
      </c>
      <c r="F181" s="89" t="s">
        <v>338</v>
      </c>
      <c r="G181" s="90" t="s">
        <v>650</v>
      </c>
      <c r="H181" s="90" t="s">
        <v>654</v>
      </c>
      <c r="I181" s="266" t="s">
        <v>775</v>
      </c>
      <c r="J181" s="90" t="s">
        <v>656</v>
      </c>
      <c r="K181" s="90" t="s">
        <v>766</v>
      </c>
      <c r="L181" s="83" t="s">
        <v>779</v>
      </c>
      <c r="M181" s="458">
        <v>43373</v>
      </c>
      <c r="N181" s="90" t="s">
        <v>803</v>
      </c>
    </row>
    <row r="182" spans="1:14" ht="18" customHeight="1" x14ac:dyDescent="0.25">
      <c r="A182" s="315">
        <v>550.02</v>
      </c>
      <c r="B182" s="327" t="s">
        <v>174</v>
      </c>
      <c r="C182" s="327"/>
      <c r="D182" s="327"/>
      <c r="E182" s="327"/>
      <c r="F182" s="327">
        <v>700</v>
      </c>
      <c r="G182" s="226">
        <v>300</v>
      </c>
      <c r="H182" s="226">
        <v>234</v>
      </c>
      <c r="I182" s="226">
        <v>300</v>
      </c>
      <c r="J182" s="204">
        <v>300</v>
      </c>
      <c r="K182" s="204">
        <v>300</v>
      </c>
      <c r="L182" s="204">
        <v>0</v>
      </c>
      <c r="M182" s="204">
        <f>(L182/8)*12</f>
        <v>0</v>
      </c>
      <c r="N182" s="204">
        <v>300</v>
      </c>
    </row>
    <row r="183" spans="1:14" ht="18" customHeight="1" x14ac:dyDescent="0.25">
      <c r="A183" s="257">
        <v>550.04</v>
      </c>
      <c r="B183" s="344" t="s">
        <v>824</v>
      </c>
      <c r="C183" s="346"/>
      <c r="D183" s="346"/>
      <c r="E183" s="346"/>
      <c r="F183" s="344">
        <v>1500</v>
      </c>
      <c r="G183" s="204">
        <v>500</v>
      </c>
      <c r="H183" s="204">
        <v>69</v>
      </c>
      <c r="I183" s="204">
        <v>500</v>
      </c>
      <c r="J183" s="204">
        <v>500</v>
      </c>
      <c r="K183" s="204">
        <v>500</v>
      </c>
      <c r="L183" s="204">
        <v>224.46</v>
      </c>
      <c r="M183" s="204">
        <f t="shared" ref="M183:M193" si="31">(L183/8)*12</f>
        <v>336.69</v>
      </c>
      <c r="N183" s="204">
        <v>500</v>
      </c>
    </row>
    <row r="184" spans="1:14" ht="18" customHeight="1" x14ac:dyDescent="0.25">
      <c r="A184" s="257">
        <v>550.05999999999995</v>
      </c>
      <c r="B184" s="344" t="s">
        <v>839</v>
      </c>
      <c r="C184" s="346"/>
      <c r="D184" s="346"/>
      <c r="E184" s="346"/>
      <c r="F184" s="344">
        <v>250</v>
      </c>
      <c r="G184" s="204">
        <v>900</v>
      </c>
      <c r="H184" s="204">
        <v>0</v>
      </c>
      <c r="I184" s="204">
        <v>900</v>
      </c>
      <c r="J184" s="204">
        <v>2000</v>
      </c>
      <c r="K184" s="204">
        <v>2000</v>
      </c>
      <c r="L184" s="204">
        <v>0</v>
      </c>
      <c r="M184" s="204">
        <f t="shared" si="31"/>
        <v>0</v>
      </c>
      <c r="N184" s="204">
        <v>2000</v>
      </c>
    </row>
    <row r="185" spans="1:14" ht="18" customHeight="1" x14ac:dyDescent="0.25">
      <c r="A185" s="409" t="s">
        <v>172</v>
      </c>
      <c r="B185" s="101"/>
      <c r="C185" s="101"/>
      <c r="D185" s="101"/>
      <c r="E185" s="101"/>
      <c r="F185" s="101">
        <f t="shared" ref="F185:L185" si="32">SUM(F182:F184)</f>
        <v>2450</v>
      </c>
      <c r="G185" s="314">
        <f t="shared" si="32"/>
        <v>1700</v>
      </c>
      <c r="H185" s="314">
        <f t="shared" si="32"/>
        <v>303</v>
      </c>
      <c r="I185" s="314">
        <f t="shared" si="32"/>
        <v>1700</v>
      </c>
      <c r="J185" s="314">
        <f t="shared" si="32"/>
        <v>2800</v>
      </c>
      <c r="K185" s="309">
        <f t="shared" si="32"/>
        <v>2800</v>
      </c>
      <c r="L185" s="309">
        <f t="shared" si="32"/>
        <v>224.46</v>
      </c>
      <c r="M185" s="136">
        <f t="shared" si="31"/>
        <v>336.69</v>
      </c>
      <c r="N185" s="309">
        <f>SUM(N182:N184)</f>
        <v>2800</v>
      </c>
    </row>
    <row r="186" spans="1:14" ht="18" customHeight="1" x14ac:dyDescent="0.25">
      <c r="A186" s="257">
        <v>560.02</v>
      </c>
      <c r="B186" s="344" t="s">
        <v>150</v>
      </c>
      <c r="C186" s="344"/>
      <c r="D186" s="344"/>
      <c r="E186" s="344"/>
      <c r="F186" s="344">
        <v>100</v>
      </c>
      <c r="G186" s="204">
        <v>100</v>
      </c>
      <c r="H186" s="204">
        <v>0</v>
      </c>
      <c r="I186" s="204">
        <v>100</v>
      </c>
      <c r="J186" s="204">
        <v>100</v>
      </c>
      <c r="K186" s="204">
        <v>100</v>
      </c>
      <c r="L186" s="204">
        <v>0</v>
      </c>
      <c r="M186" s="204">
        <f t="shared" si="31"/>
        <v>0</v>
      </c>
      <c r="N186" s="204">
        <v>100</v>
      </c>
    </row>
    <row r="187" spans="1:14" ht="18" customHeight="1" x14ac:dyDescent="0.25">
      <c r="A187" s="257">
        <v>560.1</v>
      </c>
      <c r="B187" s="344" t="s">
        <v>185</v>
      </c>
      <c r="C187" s="344"/>
      <c r="D187" s="344"/>
      <c r="E187" s="344"/>
      <c r="F187" s="344">
        <v>250</v>
      </c>
      <c r="G187" s="204">
        <v>300</v>
      </c>
      <c r="H187" s="204">
        <v>302</v>
      </c>
      <c r="I187" s="204">
        <v>302</v>
      </c>
      <c r="J187" s="204">
        <v>500</v>
      </c>
      <c r="K187" s="204">
        <v>500</v>
      </c>
      <c r="L187" s="204">
        <v>0</v>
      </c>
      <c r="M187" s="204">
        <f t="shared" si="31"/>
        <v>0</v>
      </c>
      <c r="N187" s="204">
        <v>750</v>
      </c>
    </row>
    <row r="188" spans="1:14" ht="18" customHeight="1" x14ac:dyDescent="0.25">
      <c r="A188" s="346" t="s">
        <v>149</v>
      </c>
      <c r="B188" s="346"/>
      <c r="C188" s="346"/>
      <c r="D188" s="346"/>
      <c r="E188" s="346"/>
      <c r="F188" s="346">
        <f t="shared" ref="F188:L188" si="33">SUM(F186:F187)</f>
        <v>350</v>
      </c>
      <c r="G188" s="136">
        <f t="shared" si="33"/>
        <v>400</v>
      </c>
      <c r="H188" s="136">
        <f t="shared" si="33"/>
        <v>302</v>
      </c>
      <c r="I188" s="136">
        <f t="shared" si="33"/>
        <v>402</v>
      </c>
      <c r="J188" s="136">
        <f t="shared" si="33"/>
        <v>600</v>
      </c>
      <c r="K188" s="136">
        <f t="shared" si="33"/>
        <v>600</v>
      </c>
      <c r="L188" s="136">
        <f t="shared" si="33"/>
        <v>0</v>
      </c>
      <c r="M188" s="136">
        <f t="shared" si="31"/>
        <v>0</v>
      </c>
      <c r="N188" s="136">
        <f>SUM(N186:N187)</f>
        <v>850</v>
      </c>
    </row>
    <row r="189" spans="1:14" ht="18" customHeight="1" x14ac:dyDescent="0.25">
      <c r="A189" s="257">
        <v>580.01</v>
      </c>
      <c r="B189" s="344" t="s">
        <v>623</v>
      </c>
      <c r="C189" s="344"/>
      <c r="D189" s="344"/>
      <c r="E189" s="344"/>
      <c r="F189" s="344"/>
      <c r="G189" s="204">
        <v>1500</v>
      </c>
      <c r="H189" s="204">
        <v>0</v>
      </c>
      <c r="I189" s="204">
        <v>1500</v>
      </c>
      <c r="J189" s="202">
        <v>5000</v>
      </c>
      <c r="K189" s="204">
        <v>5000</v>
      </c>
      <c r="L189" s="204">
        <v>0</v>
      </c>
      <c r="M189" s="204">
        <f t="shared" si="31"/>
        <v>0</v>
      </c>
      <c r="N189" s="204">
        <v>5000</v>
      </c>
    </row>
    <row r="190" spans="1:14" ht="18" customHeight="1" x14ac:dyDescent="0.25">
      <c r="A190" s="346" t="s">
        <v>624</v>
      </c>
      <c r="B190" s="346"/>
      <c r="C190" s="346"/>
      <c r="D190" s="346"/>
      <c r="E190" s="346"/>
      <c r="F190" s="346"/>
      <c r="G190" s="136">
        <f t="shared" ref="G190:L190" si="34">SUM(G189)</f>
        <v>1500</v>
      </c>
      <c r="H190" s="136">
        <f t="shared" si="34"/>
        <v>0</v>
      </c>
      <c r="I190" s="136">
        <f t="shared" si="34"/>
        <v>1500</v>
      </c>
      <c r="J190" s="452">
        <f t="shared" si="34"/>
        <v>5000</v>
      </c>
      <c r="K190" s="136">
        <f t="shared" si="34"/>
        <v>5000</v>
      </c>
      <c r="L190" s="136">
        <f t="shared" si="34"/>
        <v>0</v>
      </c>
      <c r="M190" s="136">
        <f t="shared" si="31"/>
        <v>0</v>
      </c>
      <c r="N190" s="136">
        <f>SUM(N189)</f>
        <v>5000</v>
      </c>
    </row>
    <row r="191" spans="1:14" ht="18" customHeight="1" x14ac:dyDescent="0.25">
      <c r="A191" s="257">
        <v>590.02</v>
      </c>
      <c r="B191" s="344" t="s">
        <v>424</v>
      </c>
      <c r="C191" s="344"/>
      <c r="D191" s="344"/>
      <c r="E191" s="344"/>
      <c r="F191" s="344">
        <v>0</v>
      </c>
      <c r="G191" s="204">
        <v>1000</v>
      </c>
      <c r="H191" s="204">
        <v>208</v>
      </c>
      <c r="I191" s="204">
        <v>600</v>
      </c>
      <c r="J191" s="204">
        <v>2500</v>
      </c>
      <c r="K191" s="204">
        <v>2500</v>
      </c>
      <c r="L191" s="204">
        <v>149.24</v>
      </c>
      <c r="M191" s="204">
        <f t="shared" si="31"/>
        <v>223.86</v>
      </c>
      <c r="N191" s="204">
        <v>2500</v>
      </c>
    </row>
    <row r="192" spans="1:14" ht="18" customHeight="1" thickBot="1" x14ac:dyDescent="0.3">
      <c r="A192" s="409" t="s">
        <v>425</v>
      </c>
      <c r="B192" s="410"/>
      <c r="C192" s="95"/>
      <c r="D192" s="95"/>
      <c r="E192" s="95"/>
      <c r="F192" s="95">
        <v>0</v>
      </c>
      <c r="G192" s="314">
        <f t="shared" ref="G192:L192" si="35">SUM(G191:G191)</f>
        <v>1000</v>
      </c>
      <c r="H192" s="314">
        <f t="shared" si="35"/>
        <v>208</v>
      </c>
      <c r="I192" s="314">
        <f t="shared" si="35"/>
        <v>600</v>
      </c>
      <c r="J192" s="314">
        <f t="shared" si="35"/>
        <v>2500</v>
      </c>
      <c r="K192" s="314">
        <f t="shared" si="35"/>
        <v>2500</v>
      </c>
      <c r="L192" s="314">
        <f t="shared" si="35"/>
        <v>149.24</v>
      </c>
      <c r="M192" s="304">
        <f t="shared" si="31"/>
        <v>223.86</v>
      </c>
      <c r="N192" s="314">
        <f>SUM(N191)</f>
        <v>2500</v>
      </c>
    </row>
    <row r="193" spans="1:25" ht="18" customHeight="1" thickBot="1" x14ac:dyDescent="0.3">
      <c r="A193" s="609" t="s">
        <v>187</v>
      </c>
      <c r="B193" s="610"/>
      <c r="C193" s="102"/>
      <c r="D193" s="102"/>
      <c r="E193" s="102"/>
      <c r="F193" s="103">
        <f>SUM(F163+F171+F177+F179+F185+F188)</f>
        <v>48456.520000000004</v>
      </c>
      <c r="G193" s="104">
        <f>SUM(G163+G171+G177+G179+G185+G188+G192)+G190</f>
        <v>76063</v>
      </c>
      <c r="H193" s="104">
        <f>SUM(H163+H171+H177+H179+H185+H188+H192)</f>
        <v>46350</v>
      </c>
      <c r="I193" s="104">
        <f>SUM(I163+I171+I177+I179+I185+I188+I192)</f>
        <v>74921.878400000001</v>
      </c>
      <c r="J193" s="104" t="e">
        <f>SUM(J163+J171+J177+J179+J185+J188+J190+J192)</f>
        <v>#REF!</v>
      </c>
      <c r="K193" s="104">
        <f>SUM(K163+K171+K177+K179+K185+K188+K190+K192)</f>
        <v>90157.548299999995</v>
      </c>
      <c r="L193" s="352">
        <f>SUM(L163+L171+L177+L179+L185+L188+L190+L192)</f>
        <v>48090.76999999999</v>
      </c>
      <c r="M193" s="104">
        <f t="shared" si="31"/>
        <v>72136.154999999984</v>
      </c>
      <c r="N193" s="104">
        <f>SUM(N163+N171+N177+N179+N185+N188+N190+N192)</f>
        <v>105713</v>
      </c>
    </row>
    <row r="194" spans="1:25" ht="18" customHeight="1" x14ac:dyDescent="0.25">
      <c r="G194" s="44"/>
      <c r="H194" s="44"/>
      <c r="I194" s="274"/>
      <c r="J194" s="192"/>
      <c r="K194" s="187"/>
    </row>
    <row r="195" spans="1:25" x14ac:dyDescent="0.25">
      <c r="A195" s="273"/>
      <c r="B195" s="272"/>
      <c r="C195" s="271"/>
      <c r="D195" s="271"/>
      <c r="E195" s="271"/>
      <c r="F195" s="271"/>
      <c r="G195" s="267"/>
      <c r="H195" s="88"/>
      <c r="I195" s="87" t="str">
        <f>+I2</f>
        <v xml:space="preserve"> Estimated</v>
      </c>
      <c r="J195" s="87" t="s">
        <v>778</v>
      </c>
      <c r="K195" s="105" t="s">
        <v>767</v>
      </c>
      <c r="L195" s="79"/>
      <c r="M195" s="87" t="s">
        <v>655</v>
      </c>
      <c r="N195" s="87" t="s">
        <v>802</v>
      </c>
      <c r="Y195" s="182" t="s">
        <v>652</v>
      </c>
    </row>
    <row r="196" spans="1:25" x14ac:dyDescent="0.25">
      <c r="A196" s="81" t="s">
        <v>188</v>
      </c>
      <c r="B196" s="270"/>
      <c r="C196" s="269"/>
      <c r="D196" s="269"/>
      <c r="E196" s="269"/>
      <c r="F196" s="96" t="s">
        <v>189</v>
      </c>
      <c r="G196" s="90" t="str">
        <f>+G3</f>
        <v>Budget 2016-17</v>
      </c>
      <c r="H196" s="90" t="str">
        <f>+H3</f>
        <v>Actual 5/31/17</v>
      </c>
      <c r="I196" s="266">
        <f>+I3</f>
        <v>43008</v>
      </c>
      <c r="J196" s="90" t="str">
        <f>+J3</f>
        <v>Budget 2017-18</v>
      </c>
      <c r="K196" s="106" t="s">
        <v>766</v>
      </c>
      <c r="L196" s="83" t="s">
        <v>779</v>
      </c>
      <c r="M196" s="458">
        <v>43373</v>
      </c>
      <c r="N196" s="90" t="s">
        <v>803</v>
      </c>
    </row>
    <row r="197" spans="1:25" x14ac:dyDescent="0.25">
      <c r="A197" s="353" t="s">
        <v>285</v>
      </c>
      <c r="B197" s="354" t="s">
        <v>127</v>
      </c>
      <c r="C197" s="355"/>
      <c r="D197" s="355"/>
      <c r="E197" s="355"/>
      <c r="F197" s="348">
        <v>300</v>
      </c>
      <c r="G197" s="202">
        <v>200</v>
      </c>
      <c r="H197" s="202">
        <v>19</v>
      </c>
      <c r="I197" s="202">
        <v>200</v>
      </c>
      <c r="J197" s="202">
        <v>1000</v>
      </c>
      <c r="K197" s="204">
        <v>1000</v>
      </c>
      <c r="L197" s="204">
        <v>111.81</v>
      </c>
      <c r="M197" s="204">
        <f>SUM(L197/8)*12</f>
        <v>167.715</v>
      </c>
      <c r="N197" s="204">
        <v>1000</v>
      </c>
    </row>
    <row r="198" spans="1:25" x14ac:dyDescent="0.25">
      <c r="A198" s="353">
        <v>510.04</v>
      </c>
      <c r="B198" s="354" t="s">
        <v>128</v>
      </c>
      <c r="C198" s="355"/>
      <c r="D198" s="355"/>
      <c r="E198" s="355"/>
      <c r="F198" s="348">
        <v>10000</v>
      </c>
      <c r="G198" s="202">
        <v>10000</v>
      </c>
      <c r="H198" s="202">
        <v>9995</v>
      </c>
      <c r="I198" s="204">
        <v>10000</v>
      </c>
      <c r="J198" s="204" t="e">
        <f>SUM('Budget Req-KVFD'!#REF!)</f>
        <v>#REF!</v>
      </c>
      <c r="K198" s="204">
        <v>18000</v>
      </c>
      <c r="L198" s="204">
        <v>14996.8</v>
      </c>
      <c r="M198" s="204">
        <v>14997</v>
      </c>
      <c r="N198" s="204">
        <v>18000</v>
      </c>
    </row>
    <row r="199" spans="1:25" x14ac:dyDescent="0.25">
      <c r="A199" s="353">
        <v>510.08</v>
      </c>
      <c r="B199" s="354" t="s">
        <v>279</v>
      </c>
      <c r="C199" s="355"/>
      <c r="D199" s="355"/>
      <c r="E199" s="355"/>
      <c r="F199" s="348">
        <v>528</v>
      </c>
      <c r="G199" s="202">
        <v>300</v>
      </c>
      <c r="H199" s="204">
        <v>273</v>
      </c>
      <c r="I199" s="204">
        <v>300</v>
      </c>
      <c r="J199" s="204">
        <f>SUM('Budget Req-KVFD'!E10)</f>
        <v>400</v>
      </c>
      <c r="K199" s="204">
        <v>400</v>
      </c>
      <c r="L199" s="204">
        <v>1072.45</v>
      </c>
      <c r="M199" s="204">
        <f t="shared" ref="M199:M235" si="36">SUM(L199/8)*12</f>
        <v>1608.6750000000002</v>
      </c>
      <c r="N199" s="204">
        <v>1500</v>
      </c>
    </row>
    <row r="200" spans="1:25" x14ac:dyDescent="0.25">
      <c r="A200" s="353">
        <v>510.1</v>
      </c>
      <c r="B200" s="354" t="s">
        <v>190</v>
      </c>
      <c r="C200" s="355"/>
      <c r="D200" s="355"/>
      <c r="E200" s="355"/>
      <c r="F200" s="348">
        <v>2808</v>
      </c>
      <c r="G200" s="202">
        <v>3108</v>
      </c>
      <c r="H200" s="202">
        <v>2258</v>
      </c>
      <c r="I200" s="202">
        <v>3108</v>
      </c>
      <c r="J200" s="204">
        <f>SUM('Budget Req-KVFD'!E11)</f>
        <v>2500</v>
      </c>
      <c r="K200" s="204">
        <v>2500</v>
      </c>
      <c r="L200" s="204">
        <v>1733.28</v>
      </c>
      <c r="M200" s="204">
        <f t="shared" si="36"/>
        <v>2599.92</v>
      </c>
      <c r="N200" s="204">
        <v>2500</v>
      </c>
    </row>
    <row r="201" spans="1:25" x14ac:dyDescent="0.25">
      <c r="A201" s="412" t="s">
        <v>178</v>
      </c>
      <c r="B201" s="413"/>
      <c r="C201" s="414"/>
      <c r="D201" s="414"/>
      <c r="E201" s="414"/>
      <c r="F201" s="415">
        <f t="shared" ref="F201:L201" si="37">SUM(F197:F200)</f>
        <v>13636</v>
      </c>
      <c r="G201" s="416">
        <f t="shared" si="37"/>
        <v>13608</v>
      </c>
      <c r="H201" s="416">
        <f t="shared" si="37"/>
        <v>12545</v>
      </c>
      <c r="I201" s="416">
        <f t="shared" si="37"/>
        <v>13608</v>
      </c>
      <c r="J201" s="416" t="e">
        <f t="shared" si="37"/>
        <v>#REF!</v>
      </c>
      <c r="K201" s="314">
        <f t="shared" si="37"/>
        <v>21900</v>
      </c>
      <c r="L201" s="417">
        <f t="shared" si="37"/>
        <v>17914.34</v>
      </c>
      <c r="M201" s="136">
        <f>SUM(M197:M200)</f>
        <v>19373.309999999998</v>
      </c>
      <c r="N201" s="136">
        <f>SUM(N197:N200)</f>
        <v>23000</v>
      </c>
    </row>
    <row r="202" spans="1:25" x14ac:dyDescent="0.25">
      <c r="A202" s="353">
        <v>520.01</v>
      </c>
      <c r="B202" s="354" t="s">
        <v>133</v>
      </c>
      <c r="C202" s="355"/>
      <c r="D202" s="355"/>
      <c r="E202" s="355"/>
      <c r="F202" s="348">
        <v>1000</v>
      </c>
      <c r="G202" s="202">
        <v>100</v>
      </c>
      <c r="H202" s="202">
        <v>165</v>
      </c>
      <c r="I202" s="202">
        <v>200</v>
      </c>
      <c r="J202" s="202">
        <v>300</v>
      </c>
      <c r="K202" s="202">
        <v>300</v>
      </c>
      <c r="L202" s="202">
        <v>205.92</v>
      </c>
      <c r="M202" s="204">
        <f t="shared" si="36"/>
        <v>308.88</v>
      </c>
      <c r="N202" s="204">
        <v>300</v>
      </c>
    </row>
    <row r="203" spans="1:25" x14ac:dyDescent="0.25">
      <c r="A203" s="353">
        <v>520.02</v>
      </c>
      <c r="B203" s="354" t="s">
        <v>166</v>
      </c>
      <c r="C203" s="355"/>
      <c r="D203" s="355"/>
      <c r="E203" s="355"/>
      <c r="F203" s="348"/>
      <c r="G203" s="202">
        <v>180</v>
      </c>
      <c r="H203" s="202">
        <v>90</v>
      </c>
      <c r="I203" s="202">
        <v>180</v>
      </c>
      <c r="J203" s="202">
        <v>180</v>
      </c>
      <c r="K203" s="202">
        <v>180</v>
      </c>
      <c r="L203" s="202">
        <v>0</v>
      </c>
      <c r="M203" s="204">
        <f t="shared" si="36"/>
        <v>0</v>
      </c>
      <c r="N203" s="204">
        <v>180</v>
      </c>
    </row>
    <row r="204" spans="1:25" x14ac:dyDescent="0.25">
      <c r="A204" s="353">
        <v>520.03</v>
      </c>
      <c r="B204" s="354" t="s">
        <v>191</v>
      </c>
      <c r="C204" s="355"/>
      <c r="D204" s="355"/>
      <c r="E204" s="355"/>
      <c r="F204" s="348">
        <v>700</v>
      </c>
      <c r="G204" s="202">
        <v>800</v>
      </c>
      <c r="H204" s="202">
        <v>800</v>
      </c>
      <c r="I204" s="204">
        <v>800</v>
      </c>
      <c r="J204" s="204">
        <f>SUM('Budget Req-KVFD'!E15)</f>
        <v>800</v>
      </c>
      <c r="K204" s="204">
        <v>800</v>
      </c>
      <c r="L204" s="204">
        <v>1232.5</v>
      </c>
      <c r="M204" s="204">
        <v>1233</v>
      </c>
      <c r="N204" s="204">
        <v>1500</v>
      </c>
    </row>
    <row r="205" spans="1:25" x14ac:dyDescent="0.25">
      <c r="A205" s="353">
        <v>520.04</v>
      </c>
      <c r="B205" s="354" t="s">
        <v>167</v>
      </c>
      <c r="C205" s="355"/>
      <c r="D205" s="355"/>
      <c r="E205" s="355"/>
      <c r="F205" s="348">
        <v>500</v>
      </c>
      <c r="G205" s="202">
        <v>300</v>
      </c>
      <c r="H205" s="202">
        <v>86</v>
      </c>
      <c r="I205" s="202">
        <v>300</v>
      </c>
      <c r="J205" s="204">
        <v>300</v>
      </c>
      <c r="K205" s="204">
        <v>300</v>
      </c>
      <c r="L205" s="204">
        <v>262.48</v>
      </c>
      <c r="M205" s="204">
        <v>262</v>
      </c>
      <c r="N205" s="204">
        <v>3000</v>
      </c>
    </row>
    <row r="206" spans="1:25" x14ac:dyDescent="0.25">
      <c r="A206" s="353">
        <v>520.05999999999995</v>
      </c>
      <c r="B206" s="354" t="s">
        <v>168</v>
      </c>
      <c r="C206" s="355"/>
      <c r="D206" s="355"/>
      <c r="E206" s="355"/>
      <c r="F206" s="348">
        <v>2800</v>
      </c>
      <c r="G206" s="202">
        <v>1700</v>
      </c>
      <c r="H206" s="202">
        <v>1204</v>
      </c>
      <c r="I206" s="202">
        <v>1800</v>
      </c>
      <c r="J206" s="202">
        <v>1700</v>
      </c>
      <c r="K206" s="202">
        <v>1700</v>
      </c>
      <c r="L206" s="202">
        <v>1880.29</v>
      </c>
      <c r="M206" s="204">
        <f t="shared" si="36"/>
        <v>2820.4349999999999</v>
      </c>
      <c r="N206" s="204">
        <v>3500</v>
      </c>
    </row>
    <row r="207" spans="1:25" x14ac:dyDescent="0.25">
      <c r="A207" s="353">
        <v>520.07000000000005</v>
      </c>
      <c r="B207" s="354" t="s">
        <v>192</v>
      </c>
      <c r="C207" s="355"/>
      <c r="D207" s="355"/>
      <c r="E207" s="355"/>
      <c r="F207" s="348">
        <v>1000</v>
      </c>
      <c r="G207" s="202">
        <v>200</v>
      </c>
      <c r="H207" s="202">
        <v>0</v>
      </c>
      <c r="I207" s="202">
        <v>200</v>
      </c>
      <c r="J207" s="202">
        <v>200</v>
      </c>
      <c r="K207" s="202">
        <v>200</v>
      </c>
      <c r="L207" s="202">
        <v>0</v>
      </c>
      <c r="M207" s="204">
        <f t="shared" si="36"/>
        <v>0</v>
      </c>
      <c r="N207" s="345">
        <v>200</v>
      </c>
    </row>
    <row r="208" spans="1:25" s="268" customFormat="1" x14ac:dyDescent="0.25">
      <c r="A208" s="353">
        <v>520.08000000000004</v>
      </c>
      <c r="B208" s="354" t="s">
        <v>170</v>
      </c>
      <c r="C208" s="355"/>
      <c r="D208" s="355"/>
      <c r="E208" s="355"/>
      <c r="F208" s="348"/>
      <c r="G208" s="202">
        <v>150</v>
      </c>
      <c r="H208" s="202">
        <v>111</v>
      </c>
      <c r="I208" s="202">
        <v>150</v>
      </c>
      <c r="J208" s="202">
        <v>150</v>
      </c>
      <c r="K208" s="202">
        <v>150</v>
      </c>
      <c r="L208" s="202">
        <v>55.5</v>
      </c>
      <c r="M208" s="204">
        <f t="shared" si="36"/>
        <v>83.25</v>
      </c>
      <c r="N208" s="226">
        <v>150</v>
      </c>
    </row>
    <row r="209" spans="1:14" s="268" customFormat="1" x14ac:dyDescent="0.25">
      <c r="A209" s="353">
        <v>520.09</v>
      </c>
      <c r="B209" s="354" t="s">
        <v>180</v>
      </c>
      <c r="C209" s="355"/>
      <c r="D209" s="355"/>
      <c r="E209" s="355"/>
      <c r="F209" s="348"/>
      <c r="G209" s="202"/>
      <c r="H209" s="202"/>
      <c r="I209" s="202"/>
      <c r="J209" s="202"/>
      <c r="K209" s="202">
        <v>0</v>
      </c>
      <c r="L209" s="202">
        <v>0</v>
      </c>
      <c r="M209" s="204">
        <v>0</v>
      </c>
      <c r="N209" s="226">
        <v>300</v>
      </c>
    </row>
    <row r="210" spans="1:14" s="242" customFormat="1" x14ac:dyDescent="0.25">
      <c r="A210" s="353">
        <v>520.1</v>
      </c>
      <c r="B210" s="354" t="s">
        <v>184</v>
      </c>
      <c r="C210" s="355"/>
      <c r="D210" s="355"/>
      <c r="E210" s="355"/>
      <c r="F210" s="348">
        <v>2000</v>
      </c>
      <c r="G210" s="202">
        <v>1800</v>
      </c>
      <c r="H210" s="202">
        <v>2138</v>
      </c>
      <c r="I210" s="204">
        <v>2200</v>
      </c>
      <c r="J210" s="204">
        <f>SUM('Budget Req-KVFD'!E21)</f>
        <v>2500</v>
      </c>
      <c r="K210" s="204">
        <v>2500</v>
      </c>
      <c r="L210" s="204">
        <v>69.33</v>
      </c>
      <c r="M210" s="204">
        <f t="shared" si="36"/>
        <v>103.995</v>
      </c>
      <c r="N210" s="226">
        <v>2500</v>
      </c>
    </row>
    <row r="211" spans="1:14" s="242" customFormat="1" x14ac:dyDescent="0.25">
      <c r="A211" s="418" t="s">
        <v>137</v>
      </c>
      <c r="B211" s="413"/>
      <c r="C211" s="414"/>
      <c r="D211" s="414"/>
      <c r="E211" s="414"/>
      <c r="F211" s="415">
        <f t="shared" ref="F211:L211" si="38">SUM(F202:F210)</f>
        <v>8000</v>
      </c>
      <c r="G211" s="416">
        <f t="shared" si="38"/>
        <v>5230</v>
      </c>
      <c r="H211" s="416">
        <f t="shared" si="38"/>
        <v>4594</v>
      </c>
      <c r="I211" s="416">
        <f t="shared" si="38"/>
        <v>5830</v>
      </c>
      <c r="J211" s="416">
        <f t="shared" si="38"/>
        <v>6130</v>
      </c>
      <c r="K211" s="314">
        <f t="shared" si="38"/>
        <v>6130</v>
      </c>
      <c r="L211" s="417">
        <f t="shared" si="38"/>
        <v>3706.02</v>
      </c>
      <c r="M211" s="136">
        <f>SUM(M202:M210)</f>
        <v>4811.5600000000004</v>
      </c>
      <c r="N211" s="288">
        <f>SUM(N202:N210)</f>
        <v>11630</v>
      </c>
    </row>
    <row r="212" spans="1:14" s="242" customFormat="1" x14ac:dyDescent="0.25">
      <c r="A212" s="353">
        <v>530.01</v>
      </c>
      <c r="B212" s="354" t="s">
        <v>171</v>
      </c>
      <c r="C212" s="355"/>
      <c r="D212" s="355"/>
      <c r="E212" s="355"/>
      <c r="F212" s="348">
        <v>2000</v>
      </c>
      <c r="G212" s="202">
        <v>3800</v>
      </c>
      <c r="H212" s="202">
        <v>1529</v>
      </c>
      <c r="I212" s="202">
        <v>3500</v>
      </c>
      <c r="J212" s="204">
        <f>SUM('Budget Req-KVFD'!E25)</f>
        <v>2000</v>
      </c>
      <c r="K212" s="204">
        <v>2000</v>
      </c>
      <c r="L212" s="204">
        <v>973.11</v>
      </c>
      <c r="M212" s="204">
        <f t="shared" si="36"/>
        <v>1459.665</v>
      </c>
      <c r="N212" s="226">
        <v>2000</v>
      </c>
    </row>
    <row r="213" spans="1:14" s="242" customFormat="1" x14ac:dyDescent="0.25">
      <c r="A213" s="353">
        <v>530.03</v>
      </c>
      <c r="B213" s="354" t="s">
        <v>475</v>
      </c>
      <c r="C213" s="355"/>
      <c r="D213" s="355"/>
      <c r="E213" s="355"/>
      <c r="F213" s="348">
        <v>1033</v>
      </c>
      <c r="G213" s="202">
        <v>1000</v>
      </c>
      <c r="H213" s="202">
        <v>0</v>
      </c>
      <c r="I213" s="226">
        <v>1000</v>
      </c>
      <c r="J213" s="204">
        <f>SUM('Budget Req-KVFD'!E26)</f>
        <v>1000</v>
      </c>
      <c r="K213" s="204">
        <v>1000</v>
      </c>
      <c r="L213" s="204">
        <v>0</v>
      </c>
      <c r="M213" s="204">
        <f t="shared" si="36"/>
        <v>0</v>
      </c>
      <c r="N213" s="226">
        <v>1000</v>
      </c>
    </row>
    <row r="214" spans="1:14" s="242" customFormat="1" x14ac:dyDescent="0.25">
      <c r="A214" s="353">
        <v>530.1</v>
      </c>
      <c r="B214" s="354" t="s">
        <v>193</v>
      </c>
      <c r="C214" s="355"/>
      <c r="D214" s="355"/>
      <c r="E214" s="355"/>
      <c r="F214" s="348">
        <v>200</v>
      </c>
      <c r="G214" s="202">
        <v>500</v>
      </c>
      <c r="H214" s="202">
        <v>398</v>
      </c>
      <c r="I214" s="202">
        <v>500</v>
      </c>
      <c r="J214" s="202">
        <v>500</v>
      </c>
      <c r="K214" s="204">
        <v>500</v>
      </c>
      <c r="L214" s="204">
        <v>322.48</v>
      </c>
      <c r="M214" s="204">
        <f t="shared" si="36"/>
        <v>483.72</v>
      </c>
      <c r="N214" s="226">
        <v>500</v>
      </c>
    </row>
    <row r="215" spans="1:14" s="242" customFormat="1" x14ac:dyDescent="0.25">
      <c r="A215" s="353">
        <v>530.11</v>
      </c>
      <c r="B215" s="354" t="s">
        <v>2</v>
      </c>
      <c r="C215" s="355"/>
      <c r="D215" s="355"/>
      <c r="E215" s="355"/>
      <c r="F215" s="348">
        <v>1900</v>
      </c>
      <c r="G215" s="202">
        <v>2700</v>
      </c>
      <c r="H215" s="202">
        <v>1839</v>
      </c>
      <c r="I215" s="202">
        <v>3000</v>
      </c>
      <c r="J215" s="202">
        <v>2700</v>
      </c>
      <c r="K215" s="202">
        <v>2700</v>
      </c>
      <c r="L215" s="202">
        <v>1631.58</v>
      </c>
      <c r="M215" s="204">
        <f t="shared" si="36"/>
        <v>2447.37</v>
      </c>
      <c r="N215" s="226">
        <v>2700</v>
      </c>
    </row>
    <row r="216" spans="1:14" s="242" customFormat="1" x14ac:dyDescent="0.25">
      <c r="A216" s="353">
        <v>530.13</v>
      </c>
      <c r="B216" s="354" t="s">
        <v>143</v>
      </c>
      <c r="C216" s="355"/>
      <c r="D216" s="355"/>
      <c r="E216" s="355"/>
      <c r="F216" s="348">
        <v>540</v>
      </c>
      <c r="G216" s="202">
        <v>540</v>
      </c>
      <c r="H216" s="202">
        <v>360</v>
      </c>
      <c r="I216" s="204">
        <v>540</v>
      </c>
      <c r="J216" s="204">
        <f>SUM('Budget Req-KVFD'!E29)</f>
        <v>540</v>
      </c>
      <c r="K216" s="204">
        <v>540</v>
      </c>
      <c r="L216" s="204">
        <v>360</v>
      </c>
      <c r="M216" s="204">
        <f t="shared" si="36"/>
        <v>540</v>
      </c>
      <c r="N216" s="226">
        <v>540</v>
      </c>
    </row>
    <row r="217" spans="1:14" s="242" customFormat="1" x14ac:dyDescent="0.25">
      <c r="A217" s="467" t="s">
        <v>138</v>
      </c>
      <c r="B217" s="468"/>
      <c r="C217" s="469"/>
      <c r="D217" s="469"/>
      <c r="E217" s="469"/>
      <c r="F217" s="470">
        <f t="shared" ref="F217:N217" si="39">SUM(F212:F216)</f>
        <v>5673</v>
      </c>
      <c r="G217" s="452">
        <f t="shared" si="39"/>
        <v>8540</v>
      </c>
      <c r="H217" s="452">
        <f t="shared" si="39"/>
        <v>4126</v>
      </c>
      <c r="I217" s="452">
        <f t="shared" si="39"/>
        <v>8540</v>
      </c>
      <c r="J217" s="452">
        <f t="shared" si="39"/>
        <v>6740</v>
      </c>
      <c r="K217" s="136">
        <f t="shared" si="39"/>
        <v>6740</v>
      </c>
      <c r="L217" s="136">
        <f t="shared" si="39"/>
        <v>3287.17</v>
      </c>
      <c r="M217" s="136">
        <f t="shared" si="39"/>
        <v>4930.7550000000001</v>
      </c>
      <c r="N217" s="288">
        <f t="shared" si="39"/>
        <v>6740</v>
      </c>
    </row>
    <row r="218" spans="1:14" s="242" customFormat="1" x14ac:dyDescent="0.25">
      <c r="A218" s="353">
        <v>540.01</v>
      </c>
      <c r="B218" s="354" t="s">
        <v>153</v>
      </c>
      <c r="C218" s="355"/>
      <c r="D218" s="355"/>
      <c r="E218" s="355"/>
      <c r="F218" s="348">
        <v>3600</v>
      </c>
      <c r="G218" s="202">
        <v>800</v>
      </c>
      <c r="H218" s="202">
        <v>0</v>
      </c>
      <c r="I218" s="204">
        <v>800</v>
      </c>
      <c r="J218" s="204" t="e">
        <f>SUM('Budget Req-KVFD'!#REF!)</f>
        <v>#REF!</v>
      </c>
      <c r="K218" s="204">
        <v>1500</v>
      </c>
      <c r="L218" s="204">
        <v>0</v>
      </c>
      <c r="M218" s="204">
        <f t="shared" si="36"/>
        <v>0</v>
      </c>
      <c r="N218" s="226">
        <v>1500</v>
      </c>
    </row>
    <row r="219" spans="1:14" s="242" customFormat="1" x14ac:dyDescent="0.25">
      <c r="A219" s="467" t="s">
        <v>183</v>
      </c>
      <c r="B219" s="468"/>
      <c r="C219" s="469"/>
      <c r="D219" s="469"/>
      <c r="E219" s="469"/>
      <c r="F219" s="470">
        <f t="shared" ref="F219:L219" si="40">SUM(F218)</f>
        <v>3600</v>
      </c>
      <c r="G219" s="452">
        <f t="shared" si="40"/>
        <v>800</v>
      </c>
      <c r="H219" s="452">
        <f t="shared" si="40"/>
        <v>0</v>
      </c>
      <c r="I219" s="452">
        <f t="shared" si="40"/>
        <v>800</v>
      </c>
      <c r="J219" s="452" t="e">
        <f t="shared" si="40"/>
        <v>#REF!</v>
      </c>
      <c r="K219" s="136">
        <f t="shared" si="40"/>
        <v>1500</v>
      </c>
      <c r="L219" s="136">
        <f t="shared" si="40"/>
        <v>0</v>
      </c>
      <c r="M219" s="466">
        <f t="shared" si="36"/>
        <v>0</v>
      </c>
      <c r="N219" s="288">
        <f>SUM(N218)</f>
        <v>1500</v>
      </c>
    </row>
    <row r="220" spans="1:14" s="242" customFormat="1" x14ac:dyDescent="0.25">
      <c r="A220" s="472">
        <v>550.01</v>
      </c>
      <c r="B220" s="456" t="s">
        <v>173</v>
      </c>
      <c r="C220" s="414"/>
      <c r="D220" s="414"/>
      <c r="E220" s="414"/>
      <c r="F220" s="415"/>
      <c r="G220" s="416"/>
      <c r="H220" s="416"/>
      <c r="I220" s="416"/>
      <c r="J220" s="416"/>
      <c r="K220" s="223">
        <v>0</v>
      </c>
      <c r="L220" s="286">
        <v>0</v>
      </c>
      <c r="M220" s="208">
        <v>0</v>
      </c>
      <c r="N220" s="226">
        <v>1000</v>
      </c>
    </row>
    <row r="221" spans="1:14" s="242" customFormat="1" x14ac:dyDescent="0.25">
      <c r="A221" s="353">
        <v>550.02</v>
      </c>
      <c r="B221" s="354" t="s">
        <v>174</v>
      </c>
      <c r="C221" s="355"/>
      <c r="D221" s="355"/>
      <c r="E221" s="355"/>
      <c r="F221" s="348">
        <v>0</v>
      </c>
      <c r="G221" s="202">
        <v>5000</v>
      </c>
      <c r="H221" s="204">
        <v>5812</v>
      </c>
      <c r="I221" s="202">
        <v>5812</v>
      </c>
      <c r="J221" s="202">
        <f>'Budget Req-KVFD'!E34</f>
        <v>5500</v>
      </c>
      <c r="K221" s="204">
        <v>5500</v>
      </c>
      <c r="L221" s="204">
        <v>5228.62</v>
      </c>
      <c r="M221" s="204">
        <f t="shared" si="36"/>
        <v>7842.93</v>
      </c>
      <c r="N221" s="226">
        <v>6500</v>
      </c>
    </row>
    <row r="222" spans="1:14" s="242" customFormat="1" x14ac:dyDescent="0.25">
      <c r="A222" s="353">
        <v>550.04</v>
      </c>
      <c r="B222" s="354" t="s">
        <v>824</v>
      </c>
      <c r="C222" s="355"/>
      <c r="D222" s="355"/>
      <c r="E222" s="355"/>
      <c r="F222" s="348">
        <v>7500</v>
      </c>
      <c r="G222" s="202">
        <v>4000</v>
      </c>
      <c r="H222" s="202">
        <v>4498</v>
      </c>
      <c r="I222" s="202">
        <v>4500</v>
      </c>
      <c r="J222" s="202">
        <f>'Budget Req-KVFD'!E35</f>
        <v>6000</v>
      </c>
      <c r="K222" s="204">
        <v>6000</v>
      </c>
      <c r="L222" s="204">
        <v>2527.75</v>
      </c>
      <c r="M222" s="204">
        <f t="shared" si="36"/>
        <v>3791.625</v>
      </c>
      <c r="N222" s="226">
        <v>16000</v>
      </c>
    </row>
    <row r="223" spans="1:14" s="242" customFormat="1" x14ac:dyDescent="0.25">
      <c r="A223" s="353">
        <v>550.04999999999995</v>
      </c>
      <c r="B223" s="354" t="s">
        <v>194</v>
      </c>
      <c r="C223" s="355"/>
      <c r="D223" s="355"/>
      <c r="E223" s="355"/>
      <c r="F223" s="348">
        <v>1000</v>
      </c>
      <c r="G223" s="202">
        <v>1000</v>
      </c>
      <c r="H223" s="202">
        <v>564</v>
      </c>
      <c r="I223" s="204">
        <v>600</v>
      </c>
      <c r="J223" s="345">
        <f>SUM('Budget Req-KVFD'!E36)</f>
        <v>1000</v>
      </c>
      <c r="K223" s="204">
        <v>1000</v>
      </c>
      <c r="L223" s="204">
        <v>1128</v>
      </c>
      <c r="M223" s="204">
        <f t="shared" si="36"/>
        <v>1692</v>
      </c>
      <c r="N223" s="226">
        <v>1500</v>
      </c>
    </row>
    <row r="224" spans="1:14" s="242" customFormat="1" x14ac:dyDescent="0.25">
      <c r="A224" s="518">
        <v>550.05999999999995</v>
      </c>
      <c r="B224" s="519" t="s">
        <v>895</v>
      </c>
      <c r="C224" s="520"/>
      <c r="D224" s="520"/>
      <c r="E224" s="520"/>
      <c r="F224" s="401"/>
      <c r="G224" s="202"/>
      <c r="H224" s="202"/>
      <c r="I224" s="204"/>
      <c r="J224" s="345"/>
      <c r="K224" s="204">
        <v>0</v>
      </c>
      <c r="L224" s="204">
        <v>0</v>
      </c>
      <c r="M224" s="204">
        <v>0</v>
      </c>
      <c r="N224" s="226">
        <v>6000</v>
      </c>
    </row>
    <row r="225" spans="1:14" s="242" customFormat="1" x14ac:dyDescent="0.25">
      <c r="A225" s="448" t="s">
        <v>172</v>
      </c>
      <c r="B225" s="449"/>
      <c r="C225" s="450"/>
      <c r="D225" s="450"/>
      <c r="E225" s="450"/>
      <c r="F225" s="451">
        <f>SUM(F222:F223)</f>
        <v>8500</v>
      </c>
      <c r="G225" s="452">
        <f t="shared" ref="G225:L225" si="41">SUM(G221:G223)</f>
        <v>10000</v>
      </c>
      <c r="H225" s="452">
        <f t="shared" si="41"/>
        <v>10874</v>
      </c>
      <c r="I225" s="452">
        <f t="shared" si="41"/>
        <v>10912</v>
      </c>
      <c r="J225" s="452">
        <f t="shared" si="41"/>
        <v>12500</v>
      </c>
      <c r="K225" s="136">
        <f t="shared" si="41"/>
        <v>12500</v>
      </c>
      <c r="L225" s="136">
        <f t="shared" si="41"/>
        <v>8884.369999999999</v>
      </c>
      <c r="M225" s="136">
        <f>SUM(M218:M223)</f>
        <v>13326.555</v>
      </c>
      <c r="N225" s="288">
        <f>SUM(N220:N224)</f>
        <v>31000</v>
      </c>
    </row>
    <row r="226" spans="1:14" s="242" customFormat="1" x14ac:dyDescent="0.25">
      <c r="A226" s="353">
        <v>560.02</v>
      </c>
      <c r="B226" s="354" t="s">
        <v>150</v>
      </c>
      <c r="C226" s="355"/>
      <c r="D226" s="355"/>
      <c r="E226" s="355"/>
      <c r="F226" s="348">
        <v>3500</v>
      </c>
      <c r="G226" s="205">
        <v>300</v>
      </c>
      <c r="H226" s="202">
        <v>1000</v>
      </c>
      <c r="I226" s="205">
        <v>1000</v>
      </c>
      <c r="J226" s="345">
        <f>SUM('Budget Req-KVFD'!E39)</f>
        <v>1200</v>
      </c>
      <c r="K226" s="204">
        <v>1200</v>
      </c>
      <c r="L226" s="204">
        <v>25</v>
      </c>
      <c r="M226" s="204">
        <f t="shared" si="36"/>
        <v>37.5</v>
      </c>
      <c r="N226" s="226">
        <v>1500</v>
      </c>
    </row>
    <row r="227" spans="1:14" s="242" customFormat="1" x14ac:dyDescent="0.25">
      <c r="A227" s="353">
        <v>560.09</v>
      </c>
      <c r="B227" s="354" t="s">
        <v>408</v>
      </c>
      <c r="C227" s="355"/>
      <c r="D227" s="355"/>
      <c r="E227" s="355"/>
      <c r="F227" s="348"/>
      <c r="G227" s="205"/>
      <c r="H227" s="202"/>
      <c r="I227" s="205"/>
      <c r="J227" s="345"/>
      <c r="K227" s="204">
        <v>0</v>
      </c>
      <c r="L227" s="204">
        <v>0</v>
      </c>
      <c r="M227" s="204">
        <v>0</v>
      </c>
      <c r="N227" s="226">
        <v>600</v>
      </c>
    </row>
    <row r="228" spans="1:14" s="242" customFormat="1" x14ac:dyDescent="0.25">
      <c r="A228" s="353">
        <v>560.1</v>
      </c>
      <c r="B228" s="354" t="s">
        <v>151</v>
      </c>
      <c r="C228" s="355"/>
      <c r="D228" s="355"/>
      <c r="E228" s="355"/>
      <c r="F228" s="348">
        <v>3000</v>
      </c>
      <c r="G228" s="205">
        <v>6000</v>
      </c>
      <c r="H228" s="202">
        <v>2527</v>
      </c>
      <c r="I228" s="205">
        <v>5000</v>
      </c>
      <c r="J228" s="345">
        <f>SUM('Budget Req-KVFD'!E41)</f>
        <v>6000</v>
      </c>
      <c r="K228" s="204">
        <v>6000</v>
      </c>
      <c r="L228" s="204">
        <v>1800</v>
      </c>
      <c r="M228" s="204">
        <f t="shared" si="36"/>
        <v>2700</v>
      </c>
      <c r="N228" s="226">
        <v>10000</v>
      </c>
    </row>
    <row r="229" spans="1:14" s="242" customFormat="1" x14ac:dyDescent="0.25">
      <c r="A229" s="467" t="s">
        <v>149</v>
      </c>
      <c r="B229" s="468"/>
      <c r="C229" s="469"/>
      <c r="D229" s="469"/>
      <c r="E229" s="469"/>
      <c r="F229" s="470">
        <f t="shared" ref="F229:L229" si="42">SUM(F226:F228)</f>
        <v>6500</v>
      </c>
      <c r="G229" s="452">
        <f t="shared" si="42"/>
        <v>6300</v>
      </c>
      <c r="H229" s="452">
        <f t="shared" si="42"/>
        <v>3527</v>
      </c>
      <c r="I229" s="452">
        <f t="shared" si="42"/>
        <v>6000</v>
      </c>
      <c r="J229" s="452">
        <f t="shared" si="42"/>
        <v>7200</v>
      </c>
      <c r="K229" s="288">
        <f t="shared" si="42"/>
        <v>7200</v>
      </c>
      <c r="L229" s="288">
        <f t="shared" si="42"/>
        <v>1825</v>
      </c>
      <c r="M229" s="136">
        <f>SUM(M226:M228)</f>
        <v>2737.5</v>
      </c>
      <c r="N229" s="136">
        <f>SUM(N226:N228)</f>
        <v>12100</v>
      </c>
    </row>
    <row r="230" spans="1:14" x14ac:dyDescent="0.25">
      <c r="A230" s="353">
        <v>580.20000000000005</v>
      </c>
      <c r="B230" s="354" t="s">
        <v>456</v>
      </c>
      <c r="C230" s="355"/>
      <c r="D230" s="355"/>
      <c r="E230" s="355"/>
      <c r="F230" s="348"/>
      <c r="G230" s="202">
        <v>0</v>
      </c>
      <c r="H230" s="202">
        <v>0</v>
      </c>
      <c r="I230" s="202">
        <v>0</v>
      </c>
      <c r="J230" s="204">
        <v>0</v>
      </c>
      <c r="K230" s="226">
        <v>0</v>
      </c>
      <c r="L230" s="226">
        <v>0</v>
      </c>
      <c r="M230" s="204">
        <f t="shared" si="36"/>
        <v>0</v>
      </c>
      <c r="N230" s="204">
        <v>2000</v>
      </c>
    </row>
    <row r="231" spans="1:14" x14ac:dyDescent="0.25">
      <c r="A231" s="467" t="s">
        <v>457</v>
      </c>
      <c r="B231" s="468"/>
      <c r="C231" s="469"/>
      <c r="D231" s="469"/>
      <c r="E231" s="469"/>
      <c r="F231" s="470"/>
      <c r="G231" s="452">
        <f t="shared" ref="G231:L231" si="43">SUM(G230)</f>
        <v>0</v>
      </c>
      <c r="H231" s="452">
        <f t="shared" si="43"/>
        <v>0</v>
      </c>
      <c r="I231" s="452">
        <f t="shared" si="43"/>
        <v>0</v>
      </c>
      <c r="J231" s="136">
        <f t="shared" si="43"/>
        <v>0</v>
      </c>
      <c r="K231" s="288">
        <f t="shared" si="43"/>
        <v>0</v>
      </c>
      <c r="L231" s="288">
        <f t="shared" si="43"/>
        <v>0</v>
      </c>
      <c r="M231" s="136">
        <f t="shared" si="36"/>
        <v>0</v>
      </c>
      <c r="N231" s="136">
        <f>SUM(N230)</f>
        <v>2000</v>
      </c>
    </row>
    <row r="232" spans="1:14" s="86" customFormat="1" x14ac:dyDescent="0.25">
      <c r="A232" s="353">
        <v>590.04</v>
      </c>
      <c r="B232" s="354" t="s">
        <v>175</v>
      </c>
      <c r="C232" s="355"/>
      <c r="D232" s="355"/>
      <c r="E232" s="355"/>
      <c r="F232" s="348">
        <v>16142</v>
      </c>
      <c r="G232" s="202">
        <v>33000</v>
      </c>
      <c r="H232" s="204">
        <v>161819</v>
      </c>
      <c r="I232" s="204">
        <f>+H232+(2727*4)</f>
        <v>172727</v>
      </c>
      <c r="J232" s="345">
        <f>SUM('Budget Req-KVFD'!E45)</f>
        <v>32724</v>
      </c>
      <c r="K232" s="226">
        <v>32724</v>
      </c>
      <c r="L232" s="226">
        <v>21818.639999999999</v>
      </c>
      <c r="M232" s="204">
        <f t="shared" si="36"/>
        <v>32727.96</v>
      </c>
      <c r="N232" s="204">
        <v>32724</v>
      </c>
    </row>
    <row r="233" spans="1:14" x14ac:dyDescent="0.25">
      <c r="A233" s="353">
        <v>590.04999999999995</v>
      </c>
      <c r="B233" s="354" t="s">
        <v>194</v>
      </c>
      <c r="C233" s="355"/>
      <c r="D233" s="355"/>
      <c r="E233" s="355"/>
      <c r="F233" s="348">
        <v>2000</v>
      </c>
      <c r="G233" s="202">
        <v>750</v>
      </c>
      <c r="H233" s="204">
        <v>0</v>
      </c>
      <c r="I233" s="226">
        <v>750</v>
      </c>
      <c r="J233" s="345">
        <f>SUM('Budget Req-KVFD'!E46)</f>
        <v>750</v>
      </c>
      <c r="K233" s="226">
        <v>750</v>
      </c>
      <c r="L233" s="226">
        <v>0</v>
      </c>
      <c r="M233" s="204">
        <f t="shared" si="36"/>
        <v>0</v>
      </c>
      <c r="N233" s="204">
        <v>750</v>
      </c>
    </row>
    <row r="234" spans="1:14" x14ac:dyDescent="0.25">
      <c r="A234" s="353">
        <v>590.05999999999995</v>
      </c>
      <c r="B234" s="354" t="s">
        <v>195</v>
      </c>
      <c r="C234" s="355"/>
      <c r="D234" s="355"/>
      <c r="E234" s="355"/>
      <c r="F234" s="348">
        <v>5500</v>
      </c>
      <c r="G234" s="202">
        <v>16750</v>
      </c>
      <c r="H234" s="202">
        <v>963</v>
      </c>
      <c r="I234" s="226">
        <v>16750</v>
      </c>
      <c r="J234" s="345">
        <f>SUM('Budget Req-KVFD'!E47)</f>
        <v>3000</v>
      </c>
      <c r="K234" s="226">
        <v>3000</v>
      </c>
      <c r="L234" s="226">
        <v>260</v>
      </c>
      <c r="M234" s="204">
        <f t="shared" si="36"/>
        <v>390</v>
      </c>
      <c r="N234" s="226">
        <v>3000</v>
      </c>
    </row>
    <row r="235" spans="1:14" s="242" customFormat="1" x14ac:dyDescent="0.25">
      <c r="A235" s="353">
        <v>590.1</v>
      </c>
      <c r="B235" s="354" t="s">
        <v>196</v>
      </c>
      <c r="C235" s="355"/>
      <c r="D235" s="355"/>
      <c r="E235" s="355"/>
      <c r="F235" s="348">
        <v>0</v>
      </c>
      <c r="G235" s="202">
        <v>0</v>
      </c>
      <c r="H235" s="202">
        <v>0</v>
      </c>
      <c r="I235" s="204">
        <v>0</v>
      </c>
      <c r="J235" s="226">
        <f>SUM('Budget Req-KVFD'!E48)</f>
        <v>5000</v>
      </c>
      <c r="K235" s="226">
        <v>5000</v>
      </c>
      <c r="L235" s="226">
        <v>4940</v>
      </c>
      <c r="M235" s="204">
        <f t="shared" si="36"/>
        <v>7410</v>
      </c>
      <c r="N235" s="226">
        <v>150000</v>
      </c>
    </row>
    <row r="236" spans="1:14" s="242" customFormat="1" ht="18.75" thickBot="1" x14ac:dyDescent="0.3">
      <c r="A236" s="420" t="s">
        <v>237</v>
      </c>
      <c r="B236" s="413"/>
      <c r="C236" s="421"/>
      <c r="D236" s="421"/>
      <c r="E236" s="421"/>
      <c r="F236" s="139">
        <f t="shared" ref="F236:N236" si="44">SUM(F232:F235)</f>
        <v>23642</v>
      </c>
      <c r="G236" s="416">
        <f t="shared" si="44"/>
        <v>50500</v>
      </c>
      <c r="H236" s="416">
        <f t="shared" si="44"/>
        <v>162782</v>
      </c>
      <c r="I236" s="416">
        <f t="shared" si="44"/>
        <v>190227</v>
      </c>
      <c r="J236" s="117">
        <f t="shared" si="44"/>
        <v>41474</v>
      </c>
      <c r="K236" s="309">
        <f t="shared" si="44"/>
        <v>41474</v>
      </c>
      <c r="L236" s="422">
        <f t="shared" si="44"/>
        <v>27018.639999999999</v>
      </c>
      <c r="M236" s="136">
        <f t="shared" si="44"/>
        <v>40527.96</v>
      </c>
      <c r="N236" s="318">
        <f t="shared" si="44"/>
        <v>186474</v>
      </c>
    </row>
    <row r="237" spans="1:14" s="242" customFormat="1" ht="18.75" thickBot="1" x14ac:dyDescent="0.3">
      <c r="A237" s="596" t="s">
        <v>280</v>
      </c>
      <c r="B237" s="597"/>
      <c r="C237" s="119">
        <f>SUM(C186:C236)</f>
        <v>0</v>
      </c>
      <c r="D237" s="428">
        <f>SUM(D186:D236)</f>
        <v>0</v>
      </c>
      <c r="E237" s="428">
        <f>SUM(E186:E236)</f>
        <v>0</v>
      </c>
      <c r="F237" s="428">
        <f>+SUM(F201+F211+F217+F219+F225+F229+F236)</f>
        <v>69551</v>
      </c>
      <c r="G237" s="429">
        <f t="shared" ref="G237:N237" si="45">+SUM(G201+G211+G217+G219+G225+G229+G231+G236)</f>
        <v>94978</v>
      </c>
      <c r="H237" s="429">
        <f t="shared" si="45"/>
        <v>198448</v>
      </c>
      <c r="I237" s="429">
        <f t="shared" si="45"/>
        <v>235917</v>
      </c>
      <c r="J237" s="429" t="e">
        <f t="shared" si="45"/>
        <v>#REF!</v>
      </c>
      <c r="K237" s="429">
        <f t="shared" si="45"/>
        <v>97444</v>
      </c>
      <c r="L237" s="430">
        <f t="shared" si="45"/>
        <v>62635.539999999994</v>
      </c>
      <c r="M237" s="430">
        <f t="shared" si="45"/>
        <v>85707.64</v>
      </c>
      <c r="N237" s="429">
        <f t="shared" si="45"/>
        <v>274444</v>
      </c>
    </row>
    <row r="238" spans="1:14" x14ac:dyDescent="0.25">
      <c r="A238" s="602"/>
      <c r="B238" s="603"/>
      <c r="C238" s="603"/>
      <c r="D238" s="603"/>
      <c r="E238" s="603"/>
      <c r="F238" s="604"/>
      <c r="G238" s="426"/>
      <c r="H238" s="427"/>
      <c r="I238" s="379"/>
      <c r="J238" s="379" t="s">
        <v>778</v>
      </c>
      <c r="K238" s="379" t="s">
        <v>767</v>
      </c>
      <c r="L238" s="359"/>
      <c r="M238" s="379" t="s">
        <v>655</v>
      </c>
      <c r="N238" s="379" t="s">
        <v>802</v>
      </c>
    </row>
    <row r="239" spans="1:14" s="242" customFormat="1" x14ac:dyDescent="0.25">
      <c r="A239" s="81" t="s">
        <v>415</v>
      </c>
      <c r="B239" s="82"/>
      <c r="C239" s="108" t="s">
        <v>23</v>
      </c>
      <c r="D239" s="109" t="s">
        <v>26</v>
      </c>
      <c r="E239" s="109" t="s">
        <v>25</v>
      </c>
      <c r="F239" s="89" t="s">
        <v>338</v>
      </c>
      <c r="G239" s="90" t="s">
        <v>650</v>
      </c>
      <c r="H239" s="90" t="s">
        <v>654</v>
      </c>
      <c r="I239" s="266" t="s">
        <v>775</v>
      </c>
      <c r="J239" s="90" t="s">
        <v>656</v>
      </c>
      <c r="K239" s="90" t="s">
        <v>766</v>
      </c>
      <c r="L239" s="83" t="s">
        <v>779</v>
      </c>
      <c r="M239" s="458">
        <v>43373</v>
      </c>
      <c r="N239" s="90" t="s">
        <v>803</v>
      </c>
    </row>
    <row r="240" spans="1:14" x14ac:dyDescent="0.25">
      <c r="A240" s="325" t="s">
        <v>197</v>
      </c>
      <c r="B240" s="316" t="s">
        <v>5</v>
      </c>
      <c r="C240" s="326">
        <v>28300</v>
      </c>
      <c r="D240" s="327">
        <v>17157</v>
      </c>
      <c r="E240" s="327">
        <v>25735</v>
      </c>
      <c r="F240" s="327">
        <v>66256</v>
      </c>
      <c r="G240" s="340">
        <f>116605+117405-116605</f>
        <v>117405</v>
      </c>
      <c r="H240" s="226">
        <v>86922</v>
      </c>
      <c r="I240" s="226">
        <f>+H240+(9600*4)</f>
        <v>125322</v>
      </c>
      <c r="J240" s="226" t="e">
        <f>SUM('Personnel Sched-Comm D'!#REF!)*1.02</f>
        <v>#REF!</v>
      </c>
      <c r="K240" s="226">
        <v>54292</v>
      </c>
      <c r="L240" s="226">
        <v>22212.75</v>
      </c>
      <c r="M240" s="204">
        <f>(L240/8)*12</f>
        <v>33319.125</v>
      </c>
      <c r="N240" s="204">
        <f>50502*103%</f>
        <v>52017.060000000005</v>
      </c>
    </row>
    <row r="241" spans="1:14" x14ac:dyDescent="0.25">
      <c r="A241" s="315">
        <v>510.03</v>
      </c>
      <c r="B241" s="316" t="s">
        <v>127</v>
      </c>
      <c r="C241" s="326">
        <v>2120</v>
      </c>
      <c r="D241" s="327">
        <v>1266</v>
      </c>
      <c r="E241" s="327">
        <v>1899</v>
      </c>
      <c r="F241" s="327">
        <v>1000</v>
      </c>
      <c r="G241" s="226">
        <v>2500</v>
      </c>
      <c r="H241" s="226">
        <v>1688</v>
      </c>
      <c r="I241" s="226">
        <v>2500</v>
      </c>
      <c r="J241" s="226">
        <f>SUM('Budget Req-Comm Dev'!E9)</f>
        <v>5000</v>
      </c>
      <c r="K241" s="226">
        <v>5000</v>
      </c>
      <c r="L241" s="226">
        <v>300</v>
      </c>
      <c r="M241" s="204">
        <f t="shared" ref="M241:M277" si="46">(L241/8)*12</f>
        <v>450</v>
      </c>
      <c r="N241" s="204">
        <v>10000</v>
      </c>
    </row>
    <row r="242" spans="1:14" x14ac:dyDescent="0.25">
      <c r="A242" s="315">
        <v>510.05</v>
      </c>
      <c r="B242" s="316" t="s">
        <v>164</v>
      </c>
      <c r="C242" s="326">
        <v>1500</v>
      </c>
      <c r="D242" s="327">
        <v>893</v>
      </c>
      <c r="E242" s="327">
        <v>1340</v>
      </c>
      <c r="F242" s="327">
        <v>12998</v>
      </c>
      <c r="G242" s="226">
        <v>23038</v>
      </c>
      <c r="H242" s="226">
        <v>13293</v>
      </c>
      <c r="I242" s="226">
        <v>23000</v>
      </c>
      <c r="J242" s="226">
        <f>SUM('Budget Req-Comm Dev'!E15)</f>
        <v>0</v>
      </c>
      <c r="K242" s="226">
        <v>8601</v>
      </c>
      <c r="L242" s="226">
        <v>3700.02</v>
      </c>
      <c r="M242" s="204">
        <f t="shared" si="46"/>
        <v>5550.03</v>
      </c>
      <c r="N242" s="204">
        <v>11178</v>
      </c>
    </row>
    <row r="243" spans="1:14" x14ac:dyDescent="0.25">
      <c r="A243" s="315">
        <v>510.06</v>
      </c>
      <c r="B243" s="316" t="s">
        <v>17</v>
      </c>
      <c r="C243" s="326">
        <v>4000</v>
      </c>
      <c r="D243" s="327">
        <v>2734</v>
      </c>
      <c r="E243" s="327">
        <v>4100</v>
      </c>
      <c r="F243" s="327">
        <v>5068.58</v>
      </c>
      <c r="G243" s="340">
        <v>8920</v>
      </c>
      <c r="H243" s="226">
        <v>6398</v>
      </c>
      <c r="I243" s="226">
        <f>+I240*0.08</f>
        <v>10025.76</v>
      </c>
      <c r="J243" s="226">
        <f>SUM('Budget Req-Comm Dev'!E16)</f>
        <v>4154</v>
      </c>
      <c r="K243" s="226">
        <v>4154</v>
      </c>
      <c r="L243" s="226">
        <v>1627.1</v>
      </c>
      <c r="M243" s="204">
        <f t="shared" si="46"/>
        <v>2440.6499999999996</v>
      </c>
      <c r="N243" s="204">
        <f>N240*0.0765</f>
        <v>3979.3050900000003</v>
      </c>
    </row>
    <row r="244" spans="1:14" x14ac:dyDescent="0.25">
      <c r="A244" s="315">
        <v>510.07</v>
      </c>
      <c r="B244" s="316" t="s">
        <v>130</v>
      </c>
      <c r="C244" s="326">
        <v>800</v>
      </c>
      <c r="D244" s="327">
        <v>491</v>
      </c>
      <c r="E244" s="327">
        <v>736.5</v>
      </c>
      <c r="F244" s="327">
        <v>2815.88</v>
      </c>
      <c r="G244" s="226">
        <v>5154</v>
      </c>
      <c r="H244" s="226">
        <v>3455</v>
      </c>
      <c r="I244" s="226">
        <f>+I240*0.0502</f>
        <v>6291.1644000000006</v>
      </c>
      <c r="J244" s="226">
        <f>SUM('Budget Req-Comm Dev'!E17)</f>
        <v>2764</v>
      </c>
      <c r="K244" s="226">
        <v>2764</v>
      </c>
      <c r="L244" s="226">
        <v>1014.35</v>
      </c>
      <c r="M244" s="204">
        <f t="shared" si="46"/>
        <v>1521.5250000000001</v>
      </c>
      <c r="N244" s="204">
        <f>N240*0.0464</f>
        <v>2413.5915840000002</v>
      </c>
    </row>
    <row r="245" spans="1:14" x14ac:dyDescent="0.25">
      <c r="A245" s="315">
        <v>510.08</v>
      </c>
      <c r="B245" s="316" t="s">
        <v>278</v>
      </c>
      <c r="C245" s="326"/>
      <c r="D245" s="327"/>
      <c r="E245" s="327"/>
      <c r="F245" s="327">
        <v>404</v>
      </c>
      <c r="G245" s="226">
        <v>771</v>
      </c>
      <c r="H245" s="226">
        <v>539</v>
      </c>
      <c r="I245" s="226">
        <v>900</v>
      </c>
      <c r="J245" s="226" t="e">
        <f>SUM('Budget Req-Comm Dev'!#REF!)</f>
        <v>#REF!</v>
      </c>
      <c r="K245" s="226">
        <v>147</v>
      </c>
      <c r="L245" s="226">
        <v>536.22</v>
      </c>
      <c r="M245" s="204">
        <f t="shared" si="46"/>
        <v>804.33</v>
      </c>
      <c r="N245" s="204">
        <v>1000</v>
      </c>
    </row>
    <row r="246" spans="1:14" x14ac:dyDescent="0.25">
      <c r="A246" s="315">
        <v>510.11</v>
      </c>
      <c r="B246" s="316" t="s">
        <v>203</v>
      </c>
      <c r="C246" s="326"/>
      <c r="D246" s="327"/>
      <c r="E246" s="327"/>
      <c r="F246" s="327">
        <v>2500</v>
      </c>
      <c r="G246" s="226">
        <v>0</v>
      </c>
      <c r="H246" s="340">
        <v>300</v>
      </c>
      <c r="I246" s="226">
        <v>300</v>
      </c>
      <c r="J246" s="226">
        <f>SUM('Budget Req-Comm Dev'!E19)</f>
        <v>0</v>
      </c>
      <c r="K246" s="226">
        <v>0</v>
      </c>
      <c r="L246" s="226">
        <v>0</v>
      </c>
      <c r="M246" s="204">
        <f t="shared" si="46"/>
        <v>0</v>
      </c>
      <c r="N246" s="204">
        <v>200</v>
      </c>
    </row>
    <row r="247" spans="1:14" x14ac:dyDescent="0.25">
      <c r="A247" s="315">
        <v>510.12</v>
      </c>
      <c r="B247" s="316" t="s">
        <v>429</v>
      </c>
      <c r="C247" s="326"/>
      <c r="D247" s="327"/>
      <c r="E247" s="327"/>
      <c r="F247" s="327">
        <v>0</v>
      </c>
      <c r="G247" s="226">
        <v>2850</v>
      </c>
      <c r="H247" s="340">
        <v>0</v>
      </c>
      <c r="I247" s="226">
        <v>2850</v>
      </c>
      <c r="J247" s="226">
        <f>SUM('Budget Req-Comm Dev'!E20)</f>
        <v>750</v>
      </c>
      <c r="K247" s="226">
        <v>750</v>
      </c>
      <c r="L247" s="226">
        <v>0</v>
      </c>
      <c r="M247" s="204">
        <f t="shared" si="46"/>
        <v>0</v>
      </c>
      <c r="N247" s="204">
        <v>2550</v>
      </c>
    </row>
    <row r="248" spans="1:14" x14ac:dyDescent="0.25">
      <c r="A248" s="423" t="s">
        <v>178</v>
      </c>
      <c r="B248" s="424"/>
      <c r="C248" s="158"/>
      <c r="D248" s="167"/>
      <c r="E248" s="167"/>
      <c r="F248" s="167">
        <f t="shared" ref="F248:L248" si="47">SUM(F240:F247)</f>
        <v>91042.46</v>
      </c>
      <c r="G248" s="309">
        <f t="shared" si="47"/>
        <v>160638</v>
      </c>
      <c r="H248" s="309">
        <f t="shared" si="47"/>
        <v>112595</v>
      </c>
      <c r="I248" s="309">
        <f t="shared" si="47"/>
        <v>171188.92440000002</v>
      </c>
      <c r="J248" s="309" t="e">
        <f t="shared" si="47"/>
        <v>#REF!</v>
      </c>
      <c r="K248" s="425">
        <f t="shared" si="47"/>
        <v>75708</v>
      </c>
      <c r="L248" s="425">
        <f t="shared" si="47"/>
        <v>29390.44</v>
      </c>
      <c r="M248" s="136">
        <f t="shared" si="46"/>
        <v>44085.659999999996</v>
      </c>
      <c r="N248" s="136">
        <f>SUM(N240:N247)</f>
        <v>83337.956673999986</v>
      </c>
    </row>
    <row r="249" spans="1:14" x14ac:dyDescent="0.25">
      <c r="A249" s="315">
        <v>520.01</v>
      </c>
      <c r="B249" s="316" t="s">
        <v>133</v>
      </c>
      <c r="C249" s="326">
        <v>0</v>
      </c>
      <c r="D249" s="327">
        <v>0</v>
      </c>
      <c r="E249" s="327">
        <v>0</v>
      </c>
      <c r="F249" s="327">
        <v>1000</v>
      </c>
      <c r="G249" s="340">
        <v>1200</v>
      </c>
      <c r="H249" s="340">
        <v>793</v>
      </c>
      <c r="I249" s="226">
        <v>1300</v>
      </c>
      <c r="J249" s="226">
        <f>SUM('Budget Req-Comm Dev'!E22)</f>
        <v>500</v>
      </c>
      <c r="K249" s="226">
        <v>500</v>
      </c>
      <c r="L249" s="226">
        <v>18.190000000000001</v>
      </c>
      <c r="M249" s="204">
        <f t="shared" si="46"/>
        <v>27.285000000000004</v>
      </c>
      <c r="N249" s="204">
        <v>1200</v>
      </c>
    </row>
    <row r="250" spans="1:14" x14ac:dyDescent="0.25">
      <c r="A250" s="315">
        <v>520.02</v>
      </c>
      <c r="B250" s="316" t="s">
        <v>166</v>
      </c>
      <c r="C250" s="326"/>
      <c r="D250" s="327"/>
      <c r="E250" s="327"/>
      <c r="F250" s="327">
        <v>400</v>
      </c>
      <c r="G250" s="340">
        <v>500</v>
      </c>
      <c r="H250" s="340">
        <v>259</v>
      </c>
      <c r="I250" s="226">
        <v>500</v>
      </c>
      <c r="J250" s="226">
        <f>SUM('Budget Req-Comm Dev'!E23)</f>
        <v>750</v>
      </c>
      <c r="K250" s="226">
        <v>750</v>
      </c>
      <c r="L250" s="226">
        <v>13.61</v>
      </c>
      <c r="M250" s="204">
        <f t="shared" si="46"/>
        <v>20.414999999999999</v>
      </c>
      <c r="N250" s="204">
        <v>750</v>
      </c>
    </row>
    <row r="251" spans="1:14" x14ac:dyDescent="0.25">
      <c r="A251" s="315">
        <v>520.03</v>
      </c>
      <c r="B251" s="316" t="s">
        <v>672</v>
      </c>
      <c r="C251" s="326">
        <v>1200</v>
      </c>
      <c r="D251" s="327">
        <v>289</v>
      </c>
      <c r="E251" s="327">
        <v>434</v>
      </c>
      <c r="F251" s="327">
        <v>1000</v>
      </c>
      <c r="G251" s="340">
        <v>0</v>
      </c>
      <c r="H251" s="340">
        <v>67</v>
      </c>
      <c r="I251" s="226">
        <v>150</v>
      </c>
      <c r="J251" s="226">
        <f>SUM('Budget Req-Comm Dev'!E24)</f>
        <v>7000</v>
      </c>
      <c r="K251" s="226">
        <v>7000</v>
      </c>
      <c r="L251" s="226">
        <v>90</v>
      </c>
      <c r="M251" s="204">
        <f t="shared" si="46"/>
        <v>135</v>
      </c>
      <c r="N251" s="204">
        <v>6000</v>
      </c>
    </row>
    <row r="252" spans="1:14" x14ac:dyDescent="0.25">
      <c r="A252" s="315">
        <v>520.04</v>
      </c>
      <c r="B252" s="316" t="s">
        <v>167</v>
      </c>
      <c r="C252" s="326">
        <v>1200</v>
      </c>
      <c r="D252" s="327">
        <v>289</v>
      </c>
      <c r="E252" s="327">
        <v>434</v>
      </c>
      <c r="F252" s="327">
        <v>1000</v>
      </c>
      <c r="G252" s="340">
        <v>2200</v>
      </c>
      <c r="H252" s="340">
        <v>1781</v>
      </c>
      <c r="I252" s="226">
        <v>2600</v>
      </c>
      <c r="J252" s="226" t="e">
        <f>SUM('Budget Req-Comm Dev'!#REF!)</f>
        <v>#REF!</v>
      </c>
      <c r="K252" s="226">
        <v>900</v>
      </c>
      <c r="L252" s="226">
        <v>941.4</v>
      </c>
      <c r="M252" s="204">
        <f t="shared" si="46"/>
        <v>1412.1</v>
      </c>
      <c r="N252" s="204">
        <v>900</v>
      </c>
    </row>
    <row r="253" spans="1:14" s="254" customFormat="1" x14ac:dyDescent="0.25">
      <c r="A253" s="315">
        <v>520.05999999999995</v>
      </c>
      <c r="B253" s="316" t="s">
        <v>199</v>
      </c>
      <c r="C253" s="326">
        <v>1000</v>
      </c>
      <c r="D253" s="327">
        <v>174</v>
      </c>
      <c r="E253" s="327">
        <v>261</v>
      </c>
      <c r="F253" s="327">
        <v>1800</v>
      </c>
      <c r="G253" s="340">
        <v>1200</v>
      </c>
      <c r="H253" s="340">
        <v>1300</v>
      </c>
      <c r="I253" s="226">
        <v>2100</v>
      </c>
      <c r="J253" s="226">
        <v>1100</v>
      </c>
      <c r="K253" s="226">
        <v>1100</v>
      </c>
      <c r="L253" s="226">
        <v>225.82</v>
      </c>
      <c r="M253" s="204">
        <f t="shared" si="46"/>
        <v>338.73</v>
      </c>
      <c r="N253" s="204">
        <v>1100</v>
      </c>
    </row>
    <row r="254" spans="1:14" s="249" customFormat="1" x14ac:dyDescent="0.25">
      <c r="A254" s="315">
        <v>520.07000000000005</v>
      </c>
      <c r="B254" s="316" t="s">
        <v>192</v>
      </c>
      <c r="C254" s="326"/>
      <c r="D254" s="327"/>
      <c r="E254" s="327"/>
      <c r="F254" s="327"/>
      <c r="G254" s="340"/>
      <c r="H254" s="340"/>
      <c r="I254" s="226"/>
      <c r="J254" s="226"/>
      <c r="K254" s="226"/>
      <c r="L254" s="226"/>
      <c r="M254" s="204">
        <f t="shared" si="46"/>
        <v>0</v>
      </c>
      <c r="N254" s="204">
        <v>500</v>
      </c>
    </row>
    <row r="255" spans="1:14" s="249" customFormat="1" x14ac:dyDescent="0.25">
      <c r="A255" s="315">
        <v>520.08000000000004</v>
      </c>
      <c r="B255" s="316" t="s">
        <v>435</v>
      </c>
      <c r="C255" s="326"/>
      <c r="D255" s="327"/>
      <c r="E255" s="327"/>
      <c r="F255" s="327"/>
      <c r="G255" s="340"/>
      <c r="H255" s="340"/>
      <c r="I255" s="226"/>
      <c r="J255" s="226"/>
      <c r="K255" s="226"/>
      <c r="L255" s="226"/>
      <c r="M255" s="204">
        <f t="shared" si="46"/>
        <v>0</v>
      </c>
      <c r="N255" s="204">
        <v>500</v>
      </c>
    </row>
    <row r="256" spans="1:14" x14ac:dyDescent="0.25">
      <c r="A256" s="257">
        <v>520.1</v>
      </c>
      <c r="B256" s="203" t="s">
        <v>673</v>
      </c>
      <c r="C256" s="349"/>
      <c r="D256" s="344"/>
      <c r="E256" s="344"/>
      <c r="F256" s="344">
        <v>0</v>
      </c>
      <c r="G256" s="256">
        <v>0</v>
      </c>
      <c r="H256" s="256">
        <v>11</v>
      </c>
      <c r="I256" s="204">
        <v>100</v>
      </c>
      <c r="J256" s="204">
        <v>750</v>
      </c>
      <c r="K256" s="204">
        <v>750</v>
      </c>
      <c r="L256" s="204">
        <v>76.11</v>
      </c>
      <c r="M256" s="204">
        <f t="shared" si="46"/>
        <v>114.16499999999999</v>
      </c>
      <c r="N256" s="204">
        <v>750</v>
      </c>
    </row>
    <row r="257" spans="1:14" s="86" customFormat="1" x14ac:dyDescent="0.25">
      <c r="A257" s="431" t="s">
        <v>198</v>
      </c>
      <c r="B257" s="432"/>
      <c r="C257" s="113"/>
      <c r="D257" s="101"/>
      <c r="E257" s="101"/>
      <c r="F257" s="101">
        <f t="shared" ref="F257:L257" si="48">SUM(F249:F256)</f>
        <v>5200</v>
      </c>
      <c r="G257" s="314">
        <f t="shared" si="48"/>
        <v>5100</v>
      </c>
      <c r="H257" s="314">
        <f t="shared" si="48"/>
        <v>4211</v>
      </c>
      <c r="I257" s="314">
        <f t="shared" si="48"/>
        <v>6750</v>
      </c>
      <c r="J257" s="314" t="e">
        <f t="shared" si="48"/>
        <v>#REF!</v>
      </c>
      <c r="K257" s="314">
        <f t="shared" si="48"/>
        <v>11000</v>
      </c>
      <c r="L257" s="314">
        <f t="shared" si="48"/>
        <v>1365.1299999999999</v>
      </c>
      <c r="M257" s="136">
        <f t="shared" si="46"/>
        <v>2047.6949999999997</v>
      </c>
      <c r="N257" s="136">
        <f>SUM(N249:N256)</f>
        <v>11700</v>
      </c>
    </row>
    <row r="258" spans="1:14" x14ac:dyDescent="0.25">
      <c r="A258" s="257">
        <v>530.01</v>
      </c>
      <c r="B258" s="203" t="s">
        <v>171</v>
      </c>
      <c r="C258" s="349">
        <v>500</v>
      </c>
      <c r="D258" s="344">
        <v>0</v>
      </c>
      <c r="E258" s="344">
        <v>0</v>
      </c>
      <c r="F258" s="344">
        <v>2300</v>
      </c>
      <c r="G258" s="256">
        <v>5100</v>
      </c>
      <c r="H258" s="256">
        <v>3514</v>
      </c>
      <c r="I258" s="204">
        <v>5500</v>
      </c>
      <c r="J258" s="204">
        <v>1833.3333333333333</v>
      </c>
      <c r="K258" s="204">
        <v>1833.3333333333333</v>
      </c>
      <c r="L258" s="204">
        <v>342.43</v>
      </c>
      <c r="M258" s="204">
        <f t="shared" si="46"/>
        <v>513.64499999999998</v>
      </c>
      <c r="N258" s="204">
        <v>2400</v>
      </c>
    </row>
    <row r="259" spans="1:14" x14ac:dyDescent="0.25">
      <c r="A259" s="257">
        <v>530.02</v>
      </c>
      <c r="B259" s="203" t="s">
        <v>436</v>
      </c>
      <c r="C259" s="349"/>
      <c r="D259" s="344"/>
      <c r="E259" s="344"/>
      <c r="F259" s="344"/>
      <c r="G259" s="256"/>
      <c r="H259" s="256"/>
      <c r="I259" s="204"/>
      <c r="J259" s="204"/>
      <c r="K259" s="204"/>
      <c r="L259" s="204"/>
      <c r="M259" s="204">
        <f t="shared" si="46"/>
        <v>0</v>
      </c>
      <c r="N259" s="204">
        <v>300</v>
      </c>
    </row>
    <row r="260" spans="1:14" x14ac:dyDescent="0.25">
      <c r="A260" s="257">
        <v>530.03</v>
      </c>
      <c r="B260" s="203" t="s">
        <v>468</v>
      </c>
      <c r="C260" s="349"/>
      <c r="D260" s="344"/>
      <c r="E260" s="344"/>
      <c r="F260" s="344">
        <v>0</v>
      </c>
      <c r="G260" s="256">
        <v>0</v>
      </c>
      <c r="H260" s="256">
        <v>71</v>
      </c>
      <c r="I260" s="204">
        <v>100</v>
      </c>
      <c r="J260" s="204">
        <v>100</v>
      </c>
      <c r="K260" s="204">
        <v>100</v>
      </c>
      <c r="L260" s="204">
        <v>0</v>
      </c>
      <c r="M260" s="204">
        <f t="shared" si="46"/>
        <v>0</v>
      </c>
      <c r="N260" s="204">
        <v>300</v>
      </c>
    </row>
    <row r="261" spans="1:14" x14ac:dyDescent="0.25">
      <c r="A261" s="257">
        <v>530.04</v>
      </c>
      <c r="B261" s="203" t="s">
        <v>140</v>
      </c>
      <c r="C261" s="349"/>
      <c r="D261" s="344"/>
      <c r="E261" s="344"/>
      <c r="F261" s="344"/>
      <c r="G261" s="256">
        <v>250</v>
      </c>
      <c r="H261" s="256">
        <v>0</v>
      </c>
      <c r="I261" s="204">
        <v>250</v>
      </c>
      <c r="J261" s="204">
        <v>250</v>
      </c>
      <c r="K261" s="204">
        <v>250</v>
      </c>
      <c r="L261" s="204">
        <v>0</v>
      </c>
      <c r="M261" s="204">
        <f t="shared" si="46"/>
        <v>0</v>
      </c>
      <c r="N261" s="204">
        <v>100</v>
      </c>
    </row>
    <row r="262" spans="1:14" x14ac:dyDescent="0.25">
      <c r="A262" s="257">
        <v>530.04999999999995</v>
      </c>
      <c r="B262" s="203" t="s">
        <v>18</v>
      </c>
      <c r="C262" s="349">
        <v>500</v>
      </c>
      <c r="D262" s="344">
        <v>0</v>
      </c>
      <c r="E262" s="344">
        <v>0</v>
      </c>
      <c r="F262" s="344">
        <v>300</v>
      </c>
      <c r="G262" s="256">
        <v>2000</v>
      </c>
      <c r="H262" s="256">
        <v>269</v>
      </c>
      <c r="I262" s="204">
        <v>2000</v>
      </c>
      <c r="J262" s="204">
        <f>SUM('Budget Req-Comm Dev'!E35)</f>
        <v>4500</v>
      </c>
      <c r="K262" s="204">
        <v>4500</v>
      </c>
      <c r="L262" s="204">
        <v>1005.55</v>
      </c>
      <c r="M262" s="204">
        <f t="shared" si="46"/>
        <v>1508.3249999999998</v>
      </c>
      <c r="N262" s="204">
        <v>2500</v>
      </c>
    </row>
    <row r="263" spans="1:14" x14ac:dyDescent="0.25">
      <c r="A263" s="257">
        <v>530.05999999999995</v>
      </c>
      <c r="B263" s="203" t="s">
        <v>231</v>
      </c>
      <c r="C263" s="349"/>
      <c r="D263" s="344"/>
      <c r="E263" s="344"/>
      <c r="F263" s="344">
        <v>0</v>
      </c>
      <c r="G263" s="256">
        <v>400</v>
      </c>
      <c r="H263" s="256">
        <v>0</v>
      </c>
      <c r="I263" s="204">
        <v>400</v>
      </c>
      <c r="J263" s="204">
        <v>400</v>
      </c>
      <c r="K263" s="204">
        <v>400</v>
      </c>
      <c r="L263" s="204">
        <v>0</v>
      </c>
      <c r="M263" s="204">
        <f t="shared" si="46"/>
        <v>0</v>
      </c>
      <c r="N263" s="204">
        <v>400</v>
      </c>
    </row>
    <row r="264" spans="1:14" x14ac:dyDescent="0.25">
      <c r="A264" s="257">
        <v>530.11</v>
      </c>
      <c r="B264" s="203" t="s">
        <v>2</v>
      </c>
      <c r="C264" s="349"/>
      <c r="D264" s="344"/>
      <c r="E264" s="344"/>
      <c r="F264" s="344"/>
      <c r="G264" s="256">
        <v>500</v>
      </c>
      <c r="H264" s="256">
        <v>118</v>
      </c>
      <c r="I264" s="204">
        <v>500</v>
      </c>
      <c r="J264" s="204">
        <v>500</v>
      </c>
      <c r="K264" s="204">
        <v>500</v>
      </c>
      <c r="L264" s="204">
        <v>15.07</v>
      </c>
      <c r="M264" s="204">
        <f t="shared" si="46"/>
        <v>22.605</v>
      </c>
      <c r="N264" s="204">
        <v>500</v>
      </c>
    </row>
    <row r="265" spans="1:14" x14ac:dyDescent="0.25">
      <c r="A265" s="524">
        <v>530.13</v>
      </c>
      <c r="B265" s="199" t="s">
        <v>143</v>
      </c>
      <c r="C265" s="349"/>
      <c r="D265" s="344"/>
      <c r="E265" s="344"/>
      <c r="F265" s="344"/>
      <c r="G265" s="256">
        <v>7500</v>
      </c>
      <c r="H265" s="256">
        <v>4325</v>
      </c>
      <c r="I265" s="204">
        <v>7500</v>
      </c>
      <c r="J265" s="204">
        <v>7500</v>
      </c>
      <c r="K265" s="204">
        <f>SUM(K260:K264)</f>
        <v>5750</v>
      </c>
      <c r="L265" s="204">
        <v>1692.28</v>
      </c>
      <c r="M265" s="204">
        <f t="shared" si="46"/>
        <v>2538.42</v>
      </c>
      <c r="N265" s="204">
        <v>10000</v>
      </c>
    </row>
    <row r="266" spans="1:14" s="263" customFormat="1" x14ac:dyDescent="0.25">
      <c r="A266" s="336" t="s">
        <v>138</v>
      </c>
      <c r="B266" s="525"/>
      <c r="C266" s="523"/>
      <c r="D266" s="327"/>
      <c r="E266" s="327"/>
      <c r="F266" s="327"/>
      <c r="G266" s="340"/>
      <c r="H266" s="340"/>
      <c r="I266" s="226"/>
      <c r="J266" s="226"/>
      <c r="K266" s="288">
        <f>SUM(K258:K265)</f>
        <v>13333.333333333332</v>
      </c>
      <c r="L266" s="288">
        <f>SUM(L258:L265)</f>
        <v>3055.33</v>
      </c>
      <c r="M266" s="288">
        <f>SUM(M258:M265)</f>
        <v>4582.9949999999999</v>
      </c>
      <c r="N266" s="288">
        <f>SUM(N258:N265)</f>
        <v>16500</v>
      </c>
    </row>
    <row r="267" spans="1:14" s="263" customFormat="1" x14ac:dyDescent="0.25">
      <c r="A267" s="235">
        <v>540.07000000000005</v>
      </c>
      <c r="B267" s="228" t="s">
        <v>905</v>
      </c>
      <c r="C267" s="326"/>
      <c r="D267" s="327"/>
      <c r="E267" s="327"/>
      <c r="F267" s="327"/>
      <c r="G267" s="340"/>
      <c r="H267" s="340"/>
      <c r="I267" s="226"/>
      <c r="J267" s="226"/>
      <c r="K267" s="226">
        <v>60000</v>
      </c>
      <c r="L267" s="226">
        <v>22686</v>
      </c>
      <c r="M267" s="226">
        <f>(L267/8)*12</f>
        <v>34029</v>
      </c>
      <c r="N267" s="226">
        <v>60000</v>
      </c>
    </row>
    <row r="268" spans="1:14" s="263" customFormat="1" x14ac:dyDescent="0.25">
      <c r="A268" s="360"/>
      <c r="B268" s="316" t="s">
        <v>904</v>
      </c>
      <c r="C268" s="361"/>
      <c r="D268" s="343"/>
      <c r="E268" s="343"/>
      <c r="F268" s="343"/>
      <c r="G268" s="288"/>
      <c r="H268" s="288"/>
      <c r="I268" s="288"/>
      <c r="J268" s="288"/>
      <c r="K268" s="288"/>
      <c r="L268" s="288"/>
      <c r="M268" s="288"/>
      <c r="N268" s="288"/>
    </row>
    <row r="269" spans="1:14" x14ac:dyDescent="0.25">
      <c r="A269" s="403" t="s">
        <v>183</v>
      </c>
      <c r="B269" s="135"/>
      <c r="C269" s="113"/>
      <c r="D269" s="101"/>
      <c r="E269" s="101"/>
      <c r="F269" s="101">
        <f t="shared" ref="F269:J269" si="49">SUM(F258:F265)</f>
        <v>2600</v>
      </c>
      <c r="G269" s="314">
        <f t="shared" si="49"/>
        <v>15750</v>
      </c>
      <c r="H269" s="314">
        <f t="shared" si="49"/>
        <v>8297</v>
      </c>
      <c r="I269" s="314">
        <f t="shared" si="49"/>
        <v>16250</v>
      </c>
      <c r="J269" s="314">
        <f t="shared" si="49"/>
        <v>15083.333333333332</v>
      </c>
      <c r="K269" s="136">
        <f t="shared" ref="K269:M269" si="50">SUM(K267:K268)</f>
        <v>60000</v>
      </c>
      <c r="L269" s="136">
        <f t="shared" si="50"/>
        <v>22686</v>
      </c>
      <c r="M269" s="136">
        <f t="shared" si="50"/>
        <v>34029</v>
      </c>
      <c r="N269" s="136">
        <f>SUM(N267:N268)</f>
        <v>60000</v>
      </c>
    </row>
    <row r="270" spans="1:14" x14ac:dyDescent="0.25">
      <c r="A270" s="257">
        <v>550.01</v>
      </c>
      <c r="B270" s="203" t="s">
        <v>173</v>
      </c>
      <c r="C270" s="349">
        <v>1800</v>
      </c>
      <c r="D270" s="344">
        <v>487</v>
      </c>
      <c r="E270" s="344">
        <v>731</v>
      </c>
      <c r="F270" s="344">
        <v>250</v>
      </c>
      <c r="G270" s="204">
        <v>250</v>
      </c>
      <c r="H270" s="256">
        <v>0</v>
      </c>
      <c r="I270" s="204">
        <v>250</v>
      </c>
      <c r="J270" s="226">
        <v>250</v>
      </c>
      <c r="K270" s="204">
        <v>250</v>
      </c>
      <c r="L270" s="204">
        <v>0</v>
      </c>
      <c r="M270" s="204">
        <f t="shared" si="46"/>
        <v>0</v>
      </c>
      <c r="N270" s="204">
        <v>250</v>
      </c>
    </row>
    <row r="271" spans="1:14" x14ac:dyDescent="0.25">
      <c r="A271" s="238">
        <v>550.04</v>
      </c>
      <c r="B271" s="196" t="s">
        <v>897</v>
      </c>
      <c r="C271" s="438"/>
      <c r="D271" s="275"/>
      <c r="E271" s="275"/>
      <c r="F271" s="275"/>
      <c r="G271" s="208"/>
      <c r="H271" s="253"/>
      <c r="I271" s="208"/>
      <c r="J271" s="227"/>
      <c r="K271" s="208">
        <v>0</v>
      </c>
      <c r="L271" s="208">
        <v>0</v>
      </c>
      <c r="M271" s="204">
        <v>0</v>
      </c>
      <c r="N271" s="208">
        <v>2000</v>
      </c>
    </row>
    <row r="272" spans="1:14" x14ac:dyDescent="0.25">
      <c r="A272" s="435" t="s">
        <v>200</v>
      </c>
      <c r="B272" s="436"/>
      <c r="C272" s="361"/>
      <c r="D272" s="346"/>
      <c r="E272" s="346"/>
      <c r="F272" s="343">
        <f t="shared" ref="F272:J272" si="51">SUM(F270:F270)</f>
        <v>250</v>
      </c>
      <c r="G272" s="288">
        <f t="shared" si="51"/>
        <v>250</v>
      </c>
      <c r="H272" s="288">
        <f t="shared" si="51"/>
        <v>0</v>
      </c>
      <c r="I272" s="288">
        <f t="shared" si="51"/>
        <v>250</v>
      </c>
      <c r="J272" s="288">
        <f t="shared" si="51"/>
        <v>250</v>
      </c>
      <c r="K272" s="136">
        <f t="shared" ref="K272:M272" si="52">SUM(K270:K271)</f>
        <v>250</v>
      </c>
      <c r="L272" s="136">
        <f t="shared" si="52"/>
        <v>0</v>
      </c>
      <c r="M272" s="136">
        <f t="shared" si="52"/>
        <v>0</v>
      </c>
      <c r="N272" s="136">
        <f>SUM(N270:N271)</f>
        <v>2250</v>
      </c>
    </row>
    <row r="273" spans="1:14" s="265" customFormat="1" x14ac:dyDescent="0.25">
      <c r="A273" s="257">
        <v>560.02</v>
      </c>
      <c r="B273" s="203" t="s">
        <v>150</v>
      </c>
      <c r="C273" s="326"/>
      <c r="D273" s="344"/>
      <c r="E273" s="344"/>
      <c r="F273" s="327">
        <v>100</v>
      </c>
      <c r="G273" s="256">
        <v>500</v>
      </c>
      <c r="H273" s="256">
        <v>500</v>
      </c>
      <c r="I273" s="204">
        <v>500</v>
      </c>
      <c r="J273" s="204" t="e">
        <f>SUM('Budget Req-Comm Dev'!#REF!)</f>
        <v>#REF!</v>
      </c>
      <c r="K273" s="204">
        <v>445</v>
      </c>
      <c r="L273" s="204">
        <v>0</v>
      </c>
      <c r="M273" s="204">
        <f t="shared" si="46"/>
        <v>0</v>
      </c>
      <c r="N273" s="204">
        <v>250</v>
      </c>
    </row>
    <row r="274" spans="1:14" x14ac:dyDescent="0.25">
      <c r="A274" s="257">
        <v>560.1</v>
      </c>
      <c r="B274" s="203" t="s">
        <v>151</v>
      </c>
      <c r="C274" s="326"/>
      <c r="D274" s="344"/>
      <c r="E274" s="344"/>
      <c r="F274" s="327">
        <v>200</v>
      </c>
      <c r="G274" s="256">
        <v>500</v>
      </c>
      <c r="H274" s="256">
        <v>255</v>
      </c>
      <c r="I274" s="204">
        <v>500</v>
      </c>
      <c r="J274" s="204">
        <f>SUM('Budget Req-Comm Dev'!E49)</f>
        <v>750</v>
      </c>
      <c r="K274" s="204">
        <v>750</v>
      </c>
      <c r="L274" s="204">
        <v>0</v>
      </c>
      <c r="M274" s="204">
        <f t="shared" si="46"/>
        <v>0</v>
      </c>
      <c r="N274" s="204">
        <v>750</v>
      </c>
    </row>
    <row r="275" spans="1:14" x14ac:dyDescent="0.25">
      <c r="A275" s="436" t="s">
        <v>149</v>
      </c>
      <c r="B275" s="436"/>
      <c r="C275" s="437"/>
      <c r="D275" s="346"/>
      <c r="E275" s="346"/>
      <c r="F275" s="346">
        <f>SUM(F273:F274)</f>
        <v>300</v>
      </c>
      <c r="G275" s="136">
        <f>SUM(G273:G274)</f>
        <v>1000</v>
      </c>
      <c r="H275" s="136">
        <f>SUM(H273:H274)</f>
        <v>755</v>
      </c>
      <c r="I275" s="136">
        <f>SUM(I273:I274)</f>
        <v>1000</v>
      </c>
      <c r="J275" s="136" t="e">
        <f>SUM(J273:J274)</f>
        <v>#REF!</v>
      </c>
      <c r="K275" s="136">
        <f>+SUM(K273:K274)</f>
        <v>1195</v>
      </c>
      <c r="L275" s="136">
        <f>+SUM(L273:L274)</f>
        <v>0</v>
      </c>
      <c r="M275" s="136">
        <f t="shared" si="46"/>
        <v>0</v>
      </c>
      <c r="N275" s="136">
        <f>SUM(N273:N274)</f>
        <v>1000</v>
      </c>
    </row>
    <row r="276" spans="1:14" s="86" customFormat="1" x14ac:dyDescent="0.25">
      <c r="A276" s="203">
        <v>580.01</v>
      </c>
      <c r="B276" s="203" t="s">
        <v>623</v>
      </c>
      <c r="C276" s="349"/>
      <c r="D276" s="346"/>
      <c r="E276" s="346"/>
      <c r="F276" s="344"/>
      <c r="G276" s="204">
        <v>0</v>
      </c>
      <c r="H276" s="204">
        <v>1795</v>
      </c>
      <c r="I276" s="204">
        <v>2000</v>
      </c>
      <c r="J276" s="226">
        <v>0</v>
      </c>
      <c r="K276" s="204">
        <v>0</v>
      </c>
      <c r="L276" s="204">
        <v>0</v>
      </c>
      <c r="M276" s="204">
        <f t="shared" si="46"/>
        <v>0</v>
      </c>
      <c r="N276" s="204">
        <v>2000</v>
      </c>
    </row>
    <row r="277" spans="1:14" x14ac:dyDescent="0.25">
      <c r="A277" s="346" t="s">
        <v>624</v>
      </c>
      <c r="B277" s="346"/>
      <c r="C277" s="346"/>
      <c r="D277" s="346"/>
      <c r="E277" s="346"/>
      <c r="F277" s="346"/>
      <c r="G277" s="136">
        <f t="shared" ref="G277:L277" si="53">SUM(G276)</f>
        <v>0</v>
      </c>
      <c r="H277" s="136">
        <f t="shared" si="53"/>
        <v>1795</v>
      </c>
      <c r="I277" s="136">
        <f t="shared" si="53"/>
        <v>2000</v>
      </c>
      <c r="J277" s="288">
        <f t="shared" si="53"/>
        <v>0</v>
      </c>
      <c r="K277" s="136">
        <f t="shared" si="53"/>
        <v>0</v>
      </c>
      <c r="L277" s="136">
        <f t="shared" si="53"/>
        <v>0</v>
      </c>
      <c r="M277" s="136">
        <f t="shared" si="46"/>
        <v>0</v>
      </c>
      <c r="N277" s="136">
        <f>SUM(N276)</f>
        <v>2000</v>
      </c>
    </row>
    <row r="278" spans="1:14" x14ac:dyDescent="0.25">
      <c r="A278" s="360" t="s">
        <v>417</v>
      </c>
      <c r="B278" s="360"/>
      <c r="C278" s="361">
        <f>SUM(C240:C275)</f>
        <v>42920</v>
      </c>
      <c r="D278" s="362">
        <f>SUM(D240:D275)</f>
        <v>23780</v>
      </c>
      <c r="E278" s="362">
        <f>SUM(E240:E275)</f>
        <v>35670.5</v>
      </c>
      <c r="F278" s="362" t="e">
        <f>SUM(F248+F257+F269+#REF!+F272+F275+#REF!)</f>
        <v>#REF!</v>
      </c>
      <c r="G278" s="363" t="e">
        <f>SUM(G248+G257+G269+#REF!+G272+G275+G277+#REF!)</f>
        <v>#REF!</v>
      </c>
      <c r="H278" s="363" t="e">
        <f>SUM(H248+H257+H269+#REF!+H272+H275+H277+#REF!)</f>
        <v>#REF!</v>
      </c>
      <c r="I278" s="363" t="e">
        <f>SUM(I248+I257+I269+#REF!+I272+I275+I277+#REF!)</f>
        <v>#REF!</v>
      </c>
      <c r="J278" s="363" t="e">
        <f>SUM(J248+J257+J269+#REF!+J272+J275+J277+#REF!)</f>
        <v>#REF!</v>
      </c>
      <c r="K278" s="363">
        <f>K248+K257+K269+K272+K275+K277</f>
        <v>148153</v>
      </c>
      <c r="L278" s="363">
        <f>L248+L257+L269+L272+L275+L277</f>
        <v>53441.57</v>
      </c>
      <c r="M278" s="363">
        <f>M248+M257+M269+M272+M275+M277</f>
        <v>80162.354999999996</v>
      </c>
      <c r="N278" s="363">
        <f>N248+N257+N269+N272+N275+N277+N266</f>
        <v>176787.95667399999</v>
      </c>
    </row>
    <row r="279" spans="1:14" x14ac:dyDescent="0.25">
      <c r="A279" s="602"/>
      <c r="B279" s="612"/>
      <c r="C279" s="612"/>
      <c r="D279" s="612"/>
      <c r="E279" s="612"/>
      <c r="F279" s="586"/>
      <c r="G279" s="358"/>
      <c r="H279" s="359"/>
      <c r="I279" s="132" t="str">
        <f>+I2</f>
        <v xml:space="preserve"> Estimated</v>
      </c>
      <c r="J279" s="132" t="s">
        <v>778</v>
      </c>
      <c r="K279" s="132" t="s">
        <v>767</v>
      </c>
      <c r="L279" s="359"/>
      <c r="M279" s="379" t="s">
        <v>655</v>
      </c>
      <c r="N279" s="87" t="s">
        <v>802</v>
      </c>
    </row>
    <row r="280" spans="1:14" x14ac:dyDescent="0.25">
      <c r="A280" s="81" t="s">
        <v>201</v>
      </c>
      <c r="B280" s="82"/>
      <c r="C280" s="82" t="s">
        <v>23</v>
      </c>
      <c r="D280" s="82" t="s">
        <v>26</v>
      </c>
      <c r="E280" s="82" t="s">
        <v>25</v>
      </c>
      <c r="F280" s="89" t="s">
        <v>338</v>
      </c>
      <c r="G280" s="83" t="str">
        <f>+G3</f>
        <v>Budget 2016-17</v>
      </c>
      <c r="H280" s="83" t="str">
        <f>+H3</f>
        <v>Actual 5/31/17</v>
      </c>
      <c r="I280" s="209">
        <f>+I3</f>
        <v>43008</v>
      </c>
      <c r="J280" s="83" t="str">
        <f>+J3</f>
        <v>Budget 2017-18</v>
      </c>
      <c r="K280" s="83" t="s">
        <v>766</v>
      </c>
      <c r="L280" s="83" t="s">
        <v>779</v>
      </c>
      <c r="M280" s="458">
        <v>43373</v>
      </c>
      <c r="N280" s="90" t="s">
        <v>803</v>
      </c>
    </row>
    <row r="281" spans="1:14" x14ac:dyDescent="0.25">
      <c r="A281" s="325" t="s">
        <v>202</v>
      </c>
      <c r="B281" s="316" t="s">
        <v>5</v>
      </c>
      <c r="C281" s="360"/>
      <c r="D281" s="360"/>
      <c r="E281" s="360"/>
      <c r="F281" s="342">
        <v>112530</v>
      </c>
      <c r="G281" s="205">
        <v>169174</v>
      </c>
      <c r="H281" s="205">
        <v>123993</v>
      </c>
      <c r="I281" s="226">
        <f>+H281+(14423*4)</f>
        <v>181685</v>
      </c>
      <c r="J281" s="226" t="e">
        <f>SUM('Personnel Sched-Street'!I23+'Budget Req-Street'!#REF!)*1.02</f>
        <v>#REF!</v>
      </c>
      <c r="K281" s="226">
        <v>166375</v>
      </c>
      <c r="L281" s="226">
        <v>147025.28</v>
      </c>
      <c r="M281" s="226">
        <f>(L281/8)*12</f>
        <v>220537.91999999998</v>
      </c>
      <c r="N281" s="226">
        <v>307750</v>
      </c>
    </row>
    <row r="282" spans="1:14" s="242" customFormat="1" x14ac:dyDescent="0.25">
      <c r="A282" s="315">
        <v>510.03</v>
      </c>
      <c r="B282" s="316" t="s">
        <v>127</v>
      </c>
      <c r="C282" s="360"/>
      <c r="D282" s="360"/>
      <c r="E282" s="360"/>
      <c r="F282" s="342">
        <v>300</v>
      </c>
      <c r="G282" s="205">
        <v>0</v>
      </c>
      <c r="H282" s="205">
        <v>1950</v>
      </c>
      <c r="I282" s="205">
        <v>1950</v>
      </c>
      <c r="J282" s="226">
        <f>SUM('Budget Req-Street'!E9)</f>
        <v>20000</v>
      </c>
      <c r="K282" s="226">
        <v>20000</v>
      </c>
      <c r="L282" s="226">
        <v>170</v>
      </c>
      <c r="M282" s="226">
        <f t="shared" ref="M282:M298" si="54">(L282/8)*12</f>
        <v>255</v>
      </c>
      <c r="N282" s="226">
        <v>500</v>
      </c>
    </row>
    <row r="283" spans="1:14" s="242" customFormat="1" x14ac:dyDescent="0.25">
      <c r="A283" s="315">
        <v>510.05</v>
      </c>
      <c r="B283" s="316" t="s">
        <v>164</v>
      </c>
      <c r="C283" s="360"/>
      <c r="D283" s="360"/>
      <c r="E283" s="360"/>
      <c r="F283" s="342">
        <v>25996</v>
      </c>
      <c r="G283" s="205">
        <v>30728</v>
      </c>
      <c r="H283" s="205">
        <v>17283</v>
      </c>
      <c r="I283" s="226">
        <v>30728</v>
      </c>
      <c r="J283" s="226">
        <f>SUM('Budget Req-Street'!E16)</f>
        <v>0</v>
      </c>
      <c r="K283" s="226">
        <v>34115</v>
      </c>
      <c r="L283" s="226">
        <v>23166.94</v>
      </c>
      <c r="M283" s="226">
        <f t="shared" si="54"/>
        <v>34750.409999999996</v>
      </c>
      <c r="N283" s="204">
        <v>92378</v>
      </c>
    </row>
    <row r="284" spans="1:14" s="254" customFormat="1" x14ac:dyDescent="0.25">
      <c r="A284" s="315">
        <v>510.06</v>
      </c>
      <c r="B284" s="316" t="s">
        <v>17</v>
      </c>
      <c r="C284" s="326">
        <v>11135</v>
      </c>
      <c r="D284" s="327">
        <v>7565</v>
      </c>
      <c r="E284" s="326">
        <v>11350</v>
      </c>
      <c r="F284" s="327">
        <v>8608.5499999999993</v>
      </c>
      <c r="G284" s="340">
        <v>12873</v>
      </c>
      <c r="H284" s="340">
        <v>9246</v>
      </c>
      <c r="I284" s="226">
        <f>+I281*0.08</f>
        <v>14534.800000000001</v>
      </c>
      <c r="J284" s="226">
        <f>SUM('Budget Req-Street'!E18)</f>
        <v>12728</v>
      </c>
      <c r="K284" s="226">
        <v>12728</v>
      </c>
      <c r="L284" s="226">
        <v>9064.18</v>
      </c>
      <c r="M284" s="226">
        <f t="shared" si="54"/>
        <v>13596.27</v>
      </c>
      <c r="N284" s="204">
        <v>23543</v>
      </c>
    </row>
    <row r="285" spans="1:14" x14ac:dyDescent="0.25">
      <c r="A285" s="315">
        <v>510.07</v>
      </c>
      <c r="B285" s="316" t="s">
        <v>130</v>
      </c>
      <c r="C285" s="326">
        <v>2500</v>
      </c>
      <c r="D285" s="327">
        <v>1791</v>
      </c>
      <c r="E285" s="326">
        <v>2700</v>
      </c>
      <c r="F285" s="327">
        <v>4782.53</v>
      </c>
      <c r="G285" s="340">
        <v>8565</v>
      </c>
      <c r="H285" s="340">
        <v>4870</v>
      </c>
      <c r="I285" s="226">
        <f>+I281*0.0502</f>
        <v>9120.5869999999995</v>
      </c>
      <c r="J285" s="226">
        <f>SUM('Budget Req-Street'!E19)</f>
        <v>8469</v>
      </c>
      <c r="K285" s="226">
        <v>8469</v>
      </c>
      <c r="L285" s="226">
        <v>4783.5600000000004</v>
      </c>
      <c r="M285" s="226">
        <f t="shared" si="54"/>
        <v>7175.34</v>
      </c>
      <c r="N285" s="204">
        <f>N281*0.0464</f>
        <v>14279.599999999999</v>
      </c>
    </row>
    <row r="286" spans="1:14" x14ac:dyDescent="0.25">
      <c r="A286" s="315">
        <v>510.08</v>
      </c>
      <c r="B286" s="316" t="s">
        <v>278</v>
      </c>
      <c r="C286" s="326"/>
      <c r="D286" s="326"/>
      <c r="E286" s="326"/>
      <c r="F286" s="327">
        <v>7112</v>
      </c>
      <c r="G286" s="226">
        <v>10635</v>
      </c>
      <c r="H286" s="226">
        <v>7738</v>
      </c>
      <c r="I286" s="226">
        <v>11700</v>
      </c>
      <c r="J286" s="226">
        <f>SUM('Budget Req-Street'!E20)</f>
        <v>10515</v>
      </c>
      <c r="K286" s="226">
        <v>10515</v>
      </c>
      <c r="L286" s="226">
        <v>10724.4</v>
      </c>
      <c r="M286" s="226">
        <f t="shared" si="54"/>
        <v>16086.599999999999</v>
      </c>
      <c r="N286" s="204">
        <v>20000</v>
      </c>
    </row>
    <row r="287" spans="1:14" x14ac:dyDescent="0.25">
      <c r="A287" s="315">
        <v>510.11</v>
      </c>
      <c r="B287" s="316" t="s">
        <v>203</v>
      </c>
      <c r="C287" s="326">
        <v>2000</v>
      </c>
      <c r="D287" s="326">
        <v>105</v>
      </c>
      <c r="E287" s="326">
        <v>300</v>
      </c>
      <c r="F287" s="327">
        <v>7500</v>
      </c>
      <c r="G287" s="226">
        <v>0</v>
      </c>
      <c r="H287" s="226">
        <v>400</v>
      </c>
      <c r="I287" s="226">
        <v>400</v>
      </c>
      <c r="J287" s="226">
        <f>SUM('Budget Req-Street'!E22)</f>
        <v>0</v>
      </c>
      <c r="K287" s="226">
        <v>0</v>
      </c>
      <c r="L287" s="226">
        <v>0</v>
      </c>
      <c r="M287" s="226">
        <f t="shared" si="54"/>
        <v>0</v>
      </c>
      <c r="N287" s="204">
        <v>1800</v>
      </c>
    </row>
    <row r="288" spans="1:14" x14ac:dyDescent="0.25">
      <c r="A288" s="315">
        <v>510.12</v>
      </c>
      <c r="B288" s="316" t="s">
        <v>429</v>
      </c>
      <c r="C288" s="326"/>
      <c r="D288" s="326"/>
      <c r="E288" s="326"/>
      <c r="F288" s="327">
        <v>0</v>
      </c>
      <c r="G288" s="226">
        <v>3900</v>
      </c>
      <c r="H288" s="226">
        <v>0</v>
      </c>
      <c r="I288" s="226">
        <v>3900</v>
      </c>
      <c r="J288" s="226">
        <f>SUM('Budget Req-Street'!E23)</f>
        <v>3600</v>
      </c>
      <c r="K288" s="226">
        <v>3600</v>
      </c>
      <c r="L288" s="226">
        <v>150</v>
      </c>
      <c r="M288" s="226">
        <f t="shared" si="54"/>
        <v>225</v>
      </c>
      <c r="N288" s="204">
        <v>4500</v>
      </c>
    </row>
    <row r="289" spans="1:14" x14ac:dyDescent="0.25">
      <c r="A289" s="439" t="s">
        <v>178</v>
      </c>
      <c r="B289" s="424"/>
      <c r="C289" s="158"/>
      <c r="D289" s="167"/>
      <c r="E289" s="167"/>
      <c r="F289" s="167">
        <f t="shared" ref="F289:N289" si="55">SUM(F281:F288)</f>
        <v>166829.07999999999</v>
      </c>
      <c r="G289" s="309">
        <f t="shared" si="55"/>
        <v>235875</v>
      </c>
      <c r="H289" s="309">
        <f t="shared" si="55"/>
        <v>165480</v>
      </c>
      <c r="I289" s="309">
        <f t="shared" si="55"/>
        <v>254018.38699999999</v>
      </c>
      <c r="J289" s="309" t="e">
        <f t="shared" si="55"/>
        <v>#REF!</v>
      </c>
      <c r="K289" s="309">
        <f t="shared" si="55"/>
        <v>255802</v>
      </c>
      <c r="L289" s="422">
        <f t="shared" si="55"/>
        <v>195084.36</v>
      </c>
      <c r="M289" s="136">
        <f t="shared" si="55"/>
        <v>292626.53999999998</v>
      </c>
      <c r="N289" s="136">
        <f t="shared" si="55"/>
        <v>464750.6</v>
      </c>
    </row>
    <row r="290" spans="1:14" s="86" customFormat="1" x14ac:dyDescent="0.25">
      <c r="A290" s="315">
        <v>520.01</v>
      </c>
      <c r="B290" s="316" t="s">
        <v>133</v>
      </c>
      <c r="C290" s="326">
        <v>1100</v>
      </c>
      <c r="D290" s="326">
        <v>477</v>
      </c>
      <c r="E290" s="326">
        <v>715</v>
      </c>
      <c r="F290" s="327">
        <v>400</v>
      </c>
      <c r="G290" s="226">
        <v>275</v>
      </c>
      <c r="H290" s="226">
        <v>374</v>
      </c>
      <c r="I290" s="226">
        <v>400</v>
      </c>
      <c r="J290" s="226">
        <v>400</v>
      </c>
      <c r="K290" s="226">
        <v>400</v>
      </c>
      <c r="L290" s="226">
        <v>83.83</v>
      </c>
      <c r="M290" s="226">
        <f t="shared" si="54"/>
        <v>125.745</v>
      </c>
      <c r="N290" s="204">
        <v>400</v>
      </c>
    </row>
    <row r="291" spans="1:14" x14ac:dyDescent="0.25">
      <c r="A291" s="315">
        <v>520.03</v>
      </c>
      <c r="B291" s="316" t="s">
        <v>672</v>
      </c>
      <c r="C291" s="326"/>
      <c r="D291" s="326"/>
      <c r="E291" s="326"/>
      <c r="F291" s="327"/>
      <c r="G291" s="226">
        <v>0</v>
      </c>
      <c r="H291" s="226">
        <v>90</v>
      </c>
      <c r="I291" s="226">
        <v>180</v>
      </c>
      <c r="J291" s="204">
        <v>150</v>
      </c>
      <c r="K291" s="204">
        <v>150</v>
      </c>
      <c r="L291" s="204">
        <v>150</v>
      </c>
      <c r="M291" s="226">
        <f t="shared" si="54"/>
        <v>225</v>
      </c>
      <c r="N291" s="204">
        <v>500</v>
      </c>
    </row>
    <row r="292" spans="1:14" x14ac:dyDescent="0.25">
      <c r="A292" s="315">
        <v>520.04</v>
      </c>
      <c r="B292" s="316" t="s">
        <v>167</v>
      </c>
      <c r="C292" s="326">
        <v>8000</v>
      </c>
      <c r="D292" s="326">
        <v>5262</v>
      </c>
      <c r="E292" s="326">
        <v>7900</v>
      </c>
      <c r="F292" s="327">
        <v>3300</v>
      </c>
      <c r="G292" s="226">
        <v>6500</v>
      </c>
      <c r="H292" s="226">
        <v>4535</v>
      </c>
      <c r="I292" s="204">
        <v>6500</v>
      </c>
      <c r="J292" s="204">
        <v>6500</v>
      </c>
      <c r="K292" s="204">
        <v>6500</v>
      </c>
      <c r="L292" s="204">
        <v>4857.96</v>
      </c>
      <c r="M292" s="226">
        <f t="shared" si="54"/>
        <v>7286.9400000000005</v>
      </c>
      <c r="N292" s="204">
        <v>10000</v>
      </c>
    </row>
    <row r="293" spans="1:14" x14ac:dyDescent="0.25">
      <c r="A293" s="315">
        <v>520.05999999999995</v>
      </c>
      <c r="B293" s="316" t="s">
        <v>199</v>
      </c>
      <c r="C293" s="326">
        <v>25000</v>
      </c>
      <c r="D293" s="326">
        <v>14790</v>
      </c>
      <c r="E293" s="326">
        <v>22190</v>
      </c>
      <c r="F293" s="327">
        <v>10500</v>
      </c>
      <c r="G293" s="226">
        <v>4800</v>
      </c>
      <c r="H293" s="340">
        <v>3608</v>
      </c>
      <c r="I293" s="226">
        <v>5600</v>
      </c>
      <c r="J293" s="204">
        <v>5000</v>
      </c>
      <c r="K293" s="204">
        <v>5000</v>
      </c>
      <c r="L293" s="204">
        <v>3906.83</v>
      </c>
      <c r="M293" s="226">
        <f t="shared" si="54"/>
        <v>5860.2449999999999</v>
      </c>
      <c r="N293" s="204">
        <v>10000</v>
      </c>
    </row>
    <row r="294" spans="1:14" x14ac:dyDescent="0.25">
      <c r="A294" s="315">
        <v>520.07000000000005</v>
      </c>
      <c r="B294" s="316" t="s">
        <v>179</v>
      </c>
      <c r="C294" s="326">
        <v>10000</v>
      </c>
      <c r="D294" s="327">
        <v>2949</v>
      </c>
      <c r="E294" s="326">
        <v>4450</v>
      </c>
      <c r="F294" s="327">
        <v>750</v>
      </c>
      <c r="G294" s="340">
        <v>2000</v>
      </c>
      <c r="H294" s="340">
        <v>849</v>
      </c>
      <c r="I294" s="226">
        <v>2000</v>
      </c>
      <c r="J294" s="204">
        <v>2000</v>
      </c>
      <c r="K294" s="204">
        <v>2000</v>
      </c>
      <c r="L294" s="204">
        <v>859.31</v>
      </c>
      <c r="M294" s="226">
        <f t="shared" si="54"/>
        <v>1288.9649999999999</v>
      </c>
      <c r="N294" s="204">
        <v>2000</v>
      </c>
    </row>
    <row r="295" spans="1:14" x14ac:dyDescent="0.25">
      <c r="A295" s="315">
        <v>520.08000000000004</v>
      </c>
      <c r="B295" s="316" t="s">
        <v>170</v>
      </c>
      <c r="C295" s="329">
        <v>60000</v>
      </c>
      <c r="D295" s="327">
        <v>42702</v>
      </c>
      <c r="E295" s="326">
        <v>64053</v>
      </c>
      <c r="F295" s="327">
        <v>100</v>
      </c>
      <c r="G295" s="340">
        <v>150</v>
      </c>
      <c r="H295" s="340">
        <v>151</v>
      </c>
      <c r="I295" s="226">
        <v>200</v>
      </c>
      <c r="J295" s="204">
        <v>150</v>
      </c>
      <c r="K295" s="204">
        <v>150</v>
      </c>
      <c r="L295" s="204">
        <v>71.739999999999995</v>
      </c>
      <c r="M295" s="226">
        <f t="shared" si="54"/>
        <v>107.60999999999999</v>
      </c>
      <c r="N295" s="204">
        <v>500</v>
      </c>
    </row>
    <row r="296" spans="1:14" x14ac:dyDescent="0.25">
      <c r="A296" s="315">
        <v>520.09</v>
      </c>
      <c r="B296" s="316" t="s">
        <v>180</v>
      </c>
      <c r="C296" s="326">
        <v>20000</v>
      </c>
      <c r="D296" s="327">
        <v>12251</v>
      </c>
      <c r="E296" s="326">
        <v>18376</v>
      </c>
      <c r="F296" s="327">
        <v>1000</v>
      </c>
      <c r="G296" s="340">
        <v>5000</v>
      </c>
      <c r="H296" s="340">
        <v>2009</v>
      </c>
      <c r="I296" s="204">
        <v>4500</v>
      </c>
      <c r="J296" s="204">
        <v>5000</v>
      </c>
      <c r="K296" s="204">
        <v>5000</v>
      </c>
      <c r="L296" s="204">
        <v>2422.25</v>
      </c>
      <c r="M296" s="226">
        <f t="shared" si="54"/>
        <v>3633.375</v>
      </c>
      <c r="N296" s="204">
        <v>5000</v>
      </c>
    </row>
    <row r="297" spans="1:14" x14ac:dyDescent="0.25">
      <c r="A297" s="315">
        <v>520.1</v>
      </c>
      <c r="B297" s="316" t="s">
        <v>136</v>
      </c>
      <c r="C297" s="326">
        <v>2000</v>
      </c>
      <c r="D297" s="327">
        <v>0</v>
      </c>
      <c r="E297" s="326">
        <v>0</v>
      </c>
      <c r="F297" s="327">
        <v>1000</v>
      </c>
      <c r="G297" s="340">
        <v>1500</v>
      </c>
      <c r="H297" s="340">
        <v>1455</v>
      </c>
      <c r="I297" s="226">
        <v>1500</v>
      </c>
      <c r="J297" s="204">
        <v>1500</v>
      </c>
      <c r="K297" s="204">
        <v>1500</v>
      </c>
      <c r="L297" s="204">
        <v>1798.43</v>
      </c>
      <c r="M297" s="226">
        <f t="shared" si="54"/>
        <v>2697.645</v>
      </c>
      <c r="N297" s="204">
        <v>2000</v>
      </c>
    </row>
    <row r="298" spans="1:14" x14ac:dyDescent="0.25">
      <c r="A298" s="315">
        <v>520.12</v>
      </c>
      <c r="B298" s="316" t="s">
        <v>204</v>
      </c>
      <c r="C298" s="326">
        <v>10000</v>
      </c>
      <c r="D298" s="327">
        <v>0</v>
      </c>
      <c r="E298" s="326">
        <v>0</v>
      </c>
      <c r="F298" s="327">
        <v>1500</v>
      </c>
      <c r="G298" s="340">
        <v>1900</v>
      </c>
      <c r="H298" s="340">
        <v>1468</v>
      </c>
      <c r="I298" s="226">
        <v>2500</v>
      </c>
      <c r="J298" s="204">
        <v>2000</v>
      </c>
      <c r="K298" s="204">
        <v>2000</v>
      </c>
      <c r="L298" s="204">
        <v>1141.72</v>
      </c>
      <c r="M298" s="226">
        <f t="shared" si="54"/>
        <v>1712.58</v>
      </c>
      <c r="N298" s="204">
        <v>2000</v>
      </c>
    </row>
    <row r="299" spans="1:14" s="263" customFormat="1" x14ac:dyDescent="0.25">
      <c r="A299" s="440" t="s">
        <v>137</v>
      </c>
      <c r="B299" s="360"/>
      <c r="C299" s="361"/>
      <c r="D299" s="343"/>
      <c r="E299" s="361"/>
      <c r="F299" s="343">
        <f t="shared" ref="F299:N299" si="56">SUM(F290:F298)</f>
        <v>18550</v>
      </c>
      <c r="G299" s="288">
        <f t="shared" si="56"/>
        <v>22125</v>
      </c>
      <c r="H299" s="288">
        <f t="shared" si="56"/>
        <v>14539</v>
      </c>
      <c r="I299" s="288">
        <f t="shared" si="56"/>
        <v>23380</v>
      </c>
      <c r="J299" s="288">
        <f t="shared" si="56"/>
        <v>22700</v>
      </c>
      <c r="K299" s="288">
        <f t="shared" si="56"/>
        <v>22700</v>
      </c>
      <c r="L299" s="288">
        <f t="shared" si="56"/>
        <v>15292.069999999998</v>
      </c>
      <c r="M299" s="136">
        <f t="shared" si="56"/>
        <v>22938.105000000003</v>
      </c>
      <c r="N299" s="136">
        <f t="shared" si="56"/>
        <v>32400</v>
      </c>
    </row>
    <row r="300" spans="1:14" x14ac:dyDescent="0.25">
      <c r="A300" s="315">
        <v>530.01</v>
      </c>
      <c r="B300" s="316" t="s">
        <v>171</v>
      </c>
      <c r="C300" s="326">
        <v>23000</v>
      </c>
      <c r="D300" s="327">
        <v>0</v>
      </c>
      <c r="E300" s="326">
        <v>0</v>
      </c>
      <c r="F300" s="327">
        <v>1400</v>
      </c>
      <c r="G300" s="340">
        <v>2640</v>
      </c>
      <c r="H300" s="340">
        <v>2000</v>
      </c>
      <c r="I300" s="226">
        <v>3000</v>
      </c>
      <c r="J300" s="226">
        <v>2500</v>
      </c>
      <c r="K300" s="226">
        <v>2500</v>
      </c>
      <c r="L300" s="226">
        <v>849.65</v>
      </c>
      <c r="M300" s="226">
        <f>(L300/8)*12</f>
        <v>1274.4749999999999</v>
      </c>
      <c r="N300" s="204">
        <v>2500</v>
      </c>
    </row>
    <row r="301" spans="1:14" x14ac:dyDescent="0.25">
      <c r="A301" s="315">
        <v>530.02</v>
      </c>
      <c r="B301" s="316" t="s">
        <v>205</v>
      </c>
      <c r="C301" s="326">
        <v>8000</v>
      </c>
      <c r="D301" s="327">
        <v>2717</v>
      </c>
      <c r="E301" s="326">
        <v>4080</v>
      </c>
      <c r="F301" s="327">
        <v>8000</v>
      </c>
      <c r="G301" s="340">
        <v>15000</v>
      </c>
      <c r="H301" s="340">
        <v>7505</v>
      </c>
      <c r="I301" s="226">
        <v>15000</v>
      </c>
      <c r="J301" s="226">
        <f>SUM('Budget Req-Street'!E38)</f>
        <v>8000</v>
      </c>
      <c r="K301" s="226">
        <v>8000</v>
      </c>
      <c r="L301" s="226">
        <v>746.98</v>
      </c>
      <c r="M301" s="226">
        <f t="shared" ref="M301:M305" si="57">(L301/8)*12</f>
        <v>1120.47</v>
      </c>
      <c r="N301" s="204">
        <v>10000</v>
      </c>
    </row>
    <row r="302" spans="1:14" x14ac:dyDescent="0.25">
      <c r="A302" s="315">
        <v>530.03</v>
      </c>
      <c r="B302" s="316" t="s">
        <v>475</v>
      </c>
      <c r="C302" s="326"/>
      <c r="D302" s="327"/>
      <c r="E302" s="326"/>
      <c r="F302" s="327">
        <v>0</v>
      </c>
      <c r="G302" s="340">
        <v>0</v>
      </c>
      <c r="H302" s="340">
        <v>0</v>
      </c>
      <c r="I302" s="226">
        <v>0</v>
      </c>
      <c r="J302" s="226">
        <v>0</v>
      </c>
      <c r="K302" s="226">
        <v>0</v>
      </c>
      <c r="L302" s="226">
        <v>0</v>
      </c>
      <c r="M302" s="226">
        <f t="shared" si="57"/>
        <v>0</v>
      </c>
      <c r="N302" s="204">
        <v>200</v>
      </c>
    </row>
    <row r="303" spans="1:14" x14ac:dyDescent="0.25">
      <c r="A303" s="315">
        <v>530.05999999999995</v>
      </c>
      <c r="B303" s="316" t="s">
        <v>811</v>
      </c>
      <c r="C303" s="326"/>
      <c r="D303" s="327"/>
      <c r="E303" s="326"/>
      <c r="F303" s="327"/>
      <c r="G303" s="340"/>
      <c r="H303" s="340"/>
      <c r="I303" s="226"/>
      <c r="J303" s="226"/>
      <c r="K303" s="226">
        <v>0</v>
      </c>
      <c r="L303" s="226">
        <v>0</v>
      </c>
      <c r="M303" s="226">
        <v>0</v>
      </c>
      <c r="N303" s="204">
        <v>200</v>
      </c>
    </row>
    <row r="304" spans="1:14" x14ac:dyDescent="0.25">
      <c r="A304" s="315">
        <v>530.11</v>
      </c>
      <c r="B304" s="316" t="s">
        <v>2</v>
      </c>
      <c r="C304" s="326">
        <v>500</v>
      </c>
      <c r="D304" s="327">
        <v>70</v>
      </c>
      <c r="E304" s="326">
        <v>450</v>
      </c>
      <c r="F304" s="327">
        <v>53500</v>
      </c>
      <c r="G304" s="340">
        <v>55500</v>
      </c>
      <c r="H304" s="340">
        <v>41088</v>
      </c>
      <c r="I304" s="226">
        <f>+H304+(5150*4)</f>
        <v>61688</v>
      </c>
      <c r="J304" s="226">
        <f>SUM('Budget Req-Street'!E43)</f>
        <v>62000</v>
      </c>
      <c r="K304" s="226">
        <v>62000</v>
      </c>
      <c r="L304" s="226">
        <v>38031.370000000003</v>
      </c>
      <c r="M304" s="226">
        <f t="shared" si="57"/>
        <v>57047.055000000008</v>
      </c>
      <c r="N304" s="204">
        <v>62000</v>
      </c>
    </row>
    <row r="305" spans="1:14" x14ac:dyDescent="0.25">
      <c r="A305" s="315">
        <v>530.15</v>
      </c>
      <c r="B305" s="316" t="s">
        <v>870</v>
      </c>
      <c r="C305" s="326"/>
      <c r="D305" s="327"/>
      <c r="E305" s="326"/>
      <c r="F305" s="327"/>
      <c r="G305" s="340">
        <v>0</v>
      </c>
      <c r="H305" s="340">
        <v>178</v>
      </c>
      <c r="I305" s="226">
        <v>200</v>
      </c>
      <c r="J305" s="226">
        <v>0</v>
      </c>
      <c r="K305" s="226">
        <v>0</v>
      </c>
      <c r="L305" s="226">
        <v>0</v>
      </c>
      <c r="M305" s="226">
        <f t="shared" si="57"/>
        <v>0</v>
      </c>
      <c r="N305" s="226">
        <v>15000</v>
      </c>
    </row>
    <row r="306" spans="1:14" s="242" customFormat="1" x14ac:dyDescent="0.25">
      <c r="A306" s="440" t="s">
        <v>138</v>
      </c>
      <c r="B306" s="360"/>
      <c r="C306" s="361"/>
      <c r="D306" s="343"/>
      <c r="E306" s="361"/>
      <c r="F306" s="343">
        <f>SUM(F300:F304)</f>
        <v>62900</v>
      </c>
      <c r="G306" s="288">
        <f>SUM(G300:G305)</f>
        <v>73140</v>
      </c>
      <c r="H306" s="288">
        <f>SUM(H300:H305)</f>
        <v>50771</v>
      </c>
      <c r="I306" s="288">
        <f>SUM(I300:I305)</f>
        <v>79888</v>
      </c>
      <c r="J306" s="288">
        <f>SUM(J300:J304)</f>
        <v>72500</v>
      </c>
      <c r="K306" s="288">
        <f>SUM(K300:K305)</f>
        <v>72500</v>
      </c>
      <c r="L306" s="288">
        <f>SUM(L300:L305)</f>
        <v>39628</v>
      </c>
      <c r="M306" s="136">
        <f>SUM(M300:M305)</f>
        <v>59442.000000000007</v>
      </c>
      <c r="N306" s="136">
        <f>SUM(N300:N305)</f>
        <v>89900</v>
      </c>
    </row>
    <row r="307" spans="1:14" x14ac:dyDescent="0.25">
      <c r="A307" s="315">
        <v>540.01</v>
      </c>
      <c r="B307" s="316" t="s">
        <v>206</v>
      </c>
      <c r="C307" s="326"/>
      <c r="D307" s="327"/>
      <c r="E307" s="326"/>
      <c r="F307" s="327">
        <v>500</v>
      </c>
      <c r="G307" s="340">
        <v>2500</v>
      </c>
      <c r="H307" s="340">
        <v>759</v>
      </c>
      <c r="I307" s="226">
        <v>2500</v>
      </c>
      <c r="J307" s="226">
        <f>SUM('Budget Req-Street'!E46)</f>
        <v>2000</v>
      </c>
      <c r="K307" s="226">
        <v>2000</v>
      </c>
      <c r="L307" s="226">
        <v>534.48</v>
      </c>
      <c r="M307" s="204">
        <f>(L307/8)*12</f>
        <v>801.72</v>
      </c>
      <c r="N307" s="204">
        <v>2000</v>
      </c>
    </row>
    <row r="308" spans="1:14" x14ac:dyDescent="0.25">
      <c r="A308" s="315">
        <v>540.02</v>
      </c>
      <c r="B308" s="316" t="s">
        <v>409</v>
      </c>
      <c r="C308" s="326"/>
      <c r="D308" s="327"/>
      <c r="E308" s="326"/>
      <c r="F308" s="327">
        <v>0</v>
      </c>
      <c r="G308" s="340">
        <v>400</v>
      </c>
      <c r="H308" s="340">
        <v>0</v>
      </c>
      <c r="I308" s="226">
        <v>400</v>
      </c>
      <c r="J308" s="226">
        <v>600</v>
      </c>
      <c r="K308" s="226">
        <v>600</v>
      </c>
      <c r="L308" s="226">
        <v>0</v>
      </c>
      <c r="M308" s="204">
        <f t="shared" ref="M308:M328" si="58">(L308/8)*12</f>
        <v>0</v>
      </c>
      <c r="N308" s="204">
        <v>2500</v>
      </c>
    </row>
    <row r="309" spans="1:14" x14ac:dyDescent="0.25">
      <c r="A309" s="315">
        <v>540.04999999999995</v>
      </c>
      <c r="B309" s="316" t="s">
        <v>410</v>
      </c>
      <c r="C309" s="326"/>
      <c r="D309" s="327"/>
      <c r="E309" s="326"/>
      <c r="F309" s="327">
        <v>0</v>
      </c>
      <c r="G309" s="340">
        <v>250</v>
      </c>
      <c r="H309" s="340">
        <v>0</v>
      </c>
      <c r="I309" s="226">
        <v>250</v>
      </c>
      <c r="J309" s="226">
        <v>250</v>
      </c>
      <c r="K309" s="226">
        <v>250</v>
      </c>
      <c r="L309" s="226">
        <v>1800</v>
      </c>
      <c r="M309" s="204">
        <f t="shared" si="58"/>
        <v>2700</v>
      </c>
      <c r="N309" s="204">
        <v>2500</v>
      </c>
    </row>
    <row r="310" spans="1:14" x14ac:dyDescent="0.25">
      <c r="A310" s="315">
        <v>540.05999999999995</v>
      </c>
      <c r="B310" s="316" t="s">
        <v>207</v>
      </c>
      <c r="C310" s="326">
        <v>800</v>
      </c>
      <c r="D310" s="327">
        <v>382</v>
      </c>
      <c r="E310" s="326">
        <v>580</v>
      </c>
      <c r="F310" s="327">
        <v>35000</v>
      </c>
      <c r="G310" s="340">
        <v>25000</v>
      </c>
      <c r="H310" s="340">
        <v>13099</v>
      </c>
      <c r="I310" s="226">
        <v>25000</v>
      </c>
      <c r="J310" s="226">
        <f>SUM('Budget Req-Street'!E49)</f>
        <v>36000</v>
      </c>
      <c r="K310" s="226">
        <v>36000</v>
      </c>
      <c r="L310" s="226">
        <v>13522.24</v>
      </c>
      <c r="M310" s="204">
        <f t="shared" si="58"/>
        <v>20283.36</v>
      </c>
      <c r="N310" s="204">
        <v>36000</v>
      </c>
    </row>
    <row r="311" spans="1:14" x14ac:dyDescent="0.25">
      <c r="A311" s="315">
        <v>540.07000000000005</v>
      </c>
      <c r="B311" s="316" t="s">
        <v>743</v>
      </c>
      <c r="C311" s="326"/>
      <c r="D311" s="327"/>
      <c r="E311" s="326"/>
      <c r="F311" s="327">
        <v>33500</v>
      </c>
      <c r="G311" s="340">
        <v>36200</v>
      </c>
      <c r="H311" s="340">
        <v>6800</v>
      </c>
      <c r="I311" s="204">
        <v>36200</v>
      </c>
      <c r="J311" s="204">
        <f>SUM('Budget Req-Street'!E53)</f>
        <v>33500</v>
      </c>
      <c r="K311" s="204">
        <v>33500</v>
      </c>
      <c r="L311" s="204">
        <v>6800</v>
      </c>
      <c r="M311" s="204">
        <f t="shared" si="58"/>
        <v>10200</v>
      </c>
      <c r="N311" s="204">
        <v>50000</v>
      </c>
    </row>
    <row r="312" spans="1:14" s="86" customFormat="1" x14ac:dyDescent="0.25">
      <c r="A312" s="423" t="s">
        <v>183</v>
      </c>
      <c r="B312" s="424"/>
      <c r="C312" s="158"/>
      <c r="D312" s="167"/>
      <c r="E312" s="158"/>
      <c r="F312" s="167">
        <f t="shared" ref="F312:L312" si="59">SUM(F307:F311)</f>
        <v>69000</v>
      </c>
      <c r="G312" s="309">
        <f t="shared" si="59"/>
        <v>64350</v>
      </c>
      <c r="H312" s="309">
        <f t="shared" si="59"/>
        <v>20658</v>
      </c>
      <c r="I312" s="309">
        <f t="shared" si="59"/>
        <v>64350</v>
      </c>
      <c r="J312" s="309">
        <f t="shared" si="59"/>
        <v>72350</v>
      </c>
      <c r="K312" s="314">
        <f t="shared" si="59"/>
        <v>72350</v>
      </c>
      <c r="L312" s="417">
        <f t="shared" si="59"/>
        <v>22656.720000000001</v>
      </c>
      <c r="M312" s="136">
        <f>SUM(M307:M311)</f>
        <v>33985.08</v>
      </c>
      <c r="N312" s="136">
        <f>SUM(N307:N311)</f>
        <v>93000</v>
      </c>
    </row>
    <row r="313" spans="1:14" x14ac:dyDescent="0.25">
      <c r="A313" s="315">
        <v>550.01</v>
      </c>
      <c r="B313" s="316" t="s">
        <v>458</v>
      </c>
      <c r="C313" s="326"/>
      <c r="D313" s="327"/>
      <c r="E313" s="326"/>
      <c r="F313" s="327"/>
      <c r="G313" s="340">
        <v>250</v>
      </c>
      <c r="H313" s="340">
        <v>0</v>
      </c>
      <c r="I313" s="226">
        <v>250</v>
      </c>
      <c r="J313" s="204">
        <v>250</v>
      </c>
      <c r="K313" s="204">
        <v>250</v>
      </c>
      <c r="L313" s="204">
        <v>0</v>
      </c>
      <c r="M313" s="204">
        <f t="shared" si="58"/>
        <v>0</v>
      </c>
      <c r="N313" s="204">
        <v>250</v>
      </c>
    </row>
    <row r="314" spans="1:14" x14ac:dyDescent="0.25">
      <c r="A314" s="315">
        <v>550.02</v>
      </c>
      <c r="B314" s="316" t="s">
        <v>174</v>
      </c>
      <c r="C314" s="326"/>
      <c r="D314" s="327"/>
      <c r="E314" s="326"/>
      <c r="F314" s="327">
        <v>1000</v>
      </c>
      <c r="G314" s="226">
        <v>1500</v>
      </c>
      <c r="H314" s="340">
        <v>131</v>
      </c>
      <c r="I314" s="226">
        <v>1500</v>
      </c>
      <c r="J314" s="204">
        <v>1500</v>
      </c>
      <c r="K314" s="204">
        <v>1500</v>
      </c>
      <c r="L314" s="204">
        <v>298.72000000000003</v>
      </c>
      <c r="M314" s="204">
        <f t="shared" si="58"/>
        <v>448.08000000000004</v>
      </c>
      <c r="N314" s="204">
        <v>2000</v>
      </c>
    </row>
    <row r="315" spans="1:14" x14ac:dyDescent="0.25">
      <c r="A315" s="315">
        <v>550.03</v>
      </c>
      <c r="B315" s="316" t="s">
        <v>208</v>
      </c>
      <c r="C315" s="326"/>
      <c r="D315" s="327"/>
      <c r="E315" s="326"/>
      <c r="F315" s="327">
        <v>2500</v>
      </c>
      <c r="G315" s="226">
        <v>6200</v>
      </c>
      <c r="H315" s="340">
        <v>4291</v>
      </c>
      <c r="I315" s="226">
        <v>6200</v>
      </c>
      <c r="J315" s="204">
        <v>6500</v>
      </c>
      <c r="K315" s="204">
        <v>6500</v>
      </c>
      <c r="L315" s="204">
        <v>2865.1</v>
      </c>
      <c r="M315" s="204">
        <f t="shared" si="58"/>
        <v>4297.6499999999996</v>
      </c>
      <c r="N315" s="204">
        <v>6500</v>
      </c>
    </row>
    <row r="316" spans="1:14" x14ac:dyDescent="0.25">
      <c r="A316" s="315">
        <v>550.04</v>
      </c>
      <c r="B316" s="316" t="s">
        <v>175</v>
      </c>
      <c r="C316" s="326"/>
      <c r="D316" s="327"/>
      <c r="E316" s="326"/>
      <c r="F316" s="327">
        <v>4400</v>
      </c>
      <c r="G316" s="226">
        <v>4200</v>
      </c>
      <c r="H316" s="340">
        <v>843</v>
      </c>
      <c r="I316" s="226">
        <v>3000</v>
      </c>
      <c r="J316" s="204">
        <v>5000</v>
      </c>
      <c r="K316" s="204">
        <v>5000</v>
      </c>
      <c r="L316" s="204">
        <v>914.91</v>
      </c>
      <c r="M316" s="204">
        <f t="shared" si="58"/>
        <v>1372.365</v>
      </c>
      <c r="N316" s="204">
        <v>5000</v>
      </c>
    </row>
    <row r="317" spans="1:14" x14ac:dyDescent="0.25">
      <c r="A317" s="423" t="s">
        <v>544</v>
      </c>
      <c r="B317" s="424"/>
      <c r="C317" s="158"/>
      <c r="D317" s="167"/>
      <c r="E317" s="158"/>
      <c r="F317" s="167">
        <f>SUM(F314:F316)</f>
        <v>7900</v>
      </c>
      <c r="G317" s="309">
        <f t="shared" ref="G317:L317" si="60">SUM(G313:G316)</f>
        <v>12150</v>
      </c>
      <c r="H317" s="309">
        <f t="shared" si="60"/>
        <v>5265</v>
      </c>
      <c r="I317" s="309">
        <f t="shared" si="60"/>
        <v>10950</v>
      </c>
      <c r="J317" s="309">
        <f t="shared" si="60"/>
        <v>13250</v>
      </c>
      <c r="K317" s="314">
        <f t="shared" si="60"/>
        <v>13250</v>
      </c>
      <c r="L317" s="417">
        <f t="shared" si="60"/>
        <v>4078.7299999999996</v>
      </c>
      <c r="M317" s="136">
        <f>SUM(M313:M316)</f>
        <v>6118.0949999999993</v>
      </c>
      <c r="N317" s="136">
        <f>SUM(N313:N316)</f>
        <v>13750</v>
      </c>
    </row>
    <row r="318" spans="1:14" x14ac:dyDescent="0.25">
      <c r="A318" s="315">
        <v>560.02</v>
      </c>
      <c r="B318" s="316" t="s">
        <v>150</v>
      </c>
      <c r="C318" s="326"/>
      <c r="D318" s="327"/>
      <c r="E318" s="326"/>
      <c r="F318" s="327">
        <v>200</v>
      </c>
      <c r="G318" s="226">
        <v>100</v>
      </c>
      <c r="H318" s="340">
        <v>48</v>
      </c>
      <c r="I318" s="226">
        <v>100</v>
      </c>
      <c r="J318" s="204">
        <v>100</v>
      </c>
      <c r="K318" s="204">
        <v>100</v>
      </c>
      <c r="L318" s="204">
        <v>0</v>
      </c>
      <c r="M318" s="204">
        <f t="shared" si="58"/>
        <v>0</v>
      </c>
      <c r="N318" s="204">
        <v>100</v>
      </c>
    </row>
    <row r="319" spans="1:14" x14ac:dyDescent="0.25">
      <c r="A319" s="315">
        <v>560.09</v>
      </c>
      <c r="B319" s="316" t="s">
        <v>408</v>
      </c>
      <c r="C319" s="326"/>
      <c r="D319" s="327"/>
      <c r="E319" s="326"/>
      <c r="F319" s="327"/>
      <c r="G319" s="226">
        <v>100</v>
      </c>
      <c r="H319" s="340">
        <v>480</v>
      </c>
      <c r="I319" s="226">
        <v>500</v>
      </c>
      <c r="J319" s="204">
        <v>500</v>
      </c>
      <c r="K319" s="204">
        <v>500</v>
      </c>
      <c r="L319" s="204">
        <v>300</v>
      </c>
      <c r="M319" s="204">
        <f t="shared" si="58"/>
        <v>450</v>
      </c>
      <c r="N319" s="204">
        <v>1000</v>
      </c>
    </row>
    <row r="320" spans="1:14" x14ac:dyDescent="0.25">
      <c r="A320" s="315">
        <v>560.1</v>
      </c>
      <c r="B320" s="316" t="s">
        <v>151</v>
      </c>
      <c r="C320" s="326"/>
      <c r="D320" s="327"/>
      <c r="E320" s="326"/>
      <c r="F320" s="327">
        <v>300</v>
      </c>
      <c r="G320" s="226">
        <v>500</v>
      </c>
      <c r="H320" s="340">
        <v>291</v>
      </c>
      <c r="I320" s="226">
        <v>500</v>
      </c>
      <c r="J320" s="204">
        <v>500</v>
      </c>
      <c r="K320" s="204">
        <v>500</v>
      </c>
      <c r="L320" s="204">
        <v>0</v>
      </c>
      <c r="M320" s="204">
        <f t="shared" si="58"/>
        <v>0</v>
      </c>
      <c r="N320" s="204">
        <v>500</v>
      </c>
    </row>
    <row r="321" spans="1:14" x14ac:dyDescent="0.25">
      <c r="A321" s="408" t="s">
        <v>149</v>
      </c>
      <c r="B321" s="441"/>
      <c r="C321" s="167"/>
      <c r="D321" s="167"/>
      <c r="E321" s="167"/>
      <c r="F321" s="167">
        <f t="shared" ref="F321:K321" si="61">SUM(F318:F320)</f>
        <v>500</v>
      </c>
      <c r="G321" s="309">
        <f t="shared" si="61"/>
        <v>700</v>
      </c>
      <c r="H321" s="309">
        <f t="shared" si="61"/>
        <v>819</v>
      </c>
      <c r="I321" s="309">
        <f t="shared" si="61"/>
        <v>1100</v>
      </c>
      <c r="J321" s="309">
        <f t="shared" si="61"/>
        <v>1100</v>
      </c>
      <c r="K321" s="314">
        <f t="shared" si="61"/>
        <v>1100</v>
      </c>
      <c r="L321" s="417">
        <f>SUM(L318:L320)</f>
        <v>300</v>
      </c>
      <c r="M321" s="304">
        <f>SUM(M318:M320)</f>
        <v>450</v>
      </c>
      <c r="N321" s="304">
        <f>SUM(N318:N320)</f>
        <v>1600</v>
      </c>
    </row>
    <row r="322" spans="1:14" x14ac:dyDescent="0.25">
      <c r="A322" s="315">
        <v>580.09</v>
      </c>
      <c r="B322" s="316" t="s">
        <v>154</v>
      </c>
      <c r="C322" s="326"/>
      <c r="D322" s="327"/>
      <c r="E322" s="326"/>
      <c r="F322" s="327">
        <v>0</v>
      </c>
      <c r="G322" s="226">
        <v>1000</v>
      </c>
      <c r="H322" s="340">
        <v>195</v>
      </c>
      <c r="I322" s="226">
        <v>1000</v>
      </c>
      <c r="J322" s="204">
        <v>800</v>
      </c>
      <c r="K322" s="204">
        <v>800</v>
      </c>
      <c r="L322" s="204">
        <v>0</v>
      </c>
      <c r="M322" s="204">
        <f t="shared" si="58"/>
        <v>0</v>
      </c>
      <c r="N322" s="204">
        <v>2500</v>
      </c>
    </row>
    <row r="323" spans="1:14" x14ac:dyDescent="0.25">
      <c r="A323" s="315">
        <v>580.13</v>
      </c>
      <c r="B323" s="316" t="s">
        <v>209</v>
      </c>
      <c r="C323" s="326"/>
      <c r="D323" s="327"/>
      <c r="E323" s="326"/>
      <c r="F323" s="327">
        <v>800</v>
      </c>
      <c r="G323" s="226">
        <v>700</v>
      </c>
      <c r="H323" s="340">
        <v>0</v>
      </c>
      <c r="I323" s="226">
        <v>700</v>
      </c>
      <c r="J323" s="204">
        <v>700</v>
      </c>
      <c r="K323" s="204">
        <v>700</v>
      </c>
      <c r="L323" s="204">
        <v>1488.09</v>
      </c>
      <c r="M323" s="204">
        <f t="shared" si="58"/>
        <v>2232.1349999999998</v>
      </c>
      <c r="N323" s="204">
        <v>2000</v>
      </c>
    </row>
    <row r="324" spans="1:14" x14ac:dyDescent="0.25">
      <c r="A324" s="315">
        <v>580.14</v>
      </c>
      <c r="B324" s="316" t="s">
        <v>210</v>
      </c>
      <c r="C324" s="326"/>
      <c r="D324" s="327"/>
      <c r="E324" s="326"/>
      <c r="F324" s="327">
        <v>500</v>
      </c>
      <c r="G324" s="226">
        <v>9000</v>
      </c>
      <c r="H324" s="340">
        <v>2782</v>
      </c>
      <c r="I324" s="226">
        <v>7000</v>
      </c>
      <c r="J324" s="204">
        <f>SUM('Budget Req-Street'!E68)</f>
        <v>9000</v>
      </c>
      <c r="K324" s="204">
        <v>9000</v>
      </c>
      <c r="L324" s="204">
        <v>1244</v>
      </c>
      <c r="M324" s="204">
        <f t="shared" si="58"/>
        <v>1866</v>
      </c>
      <c r="N324" s="204">
        <v>10000</v>
      </c>
    </row>
    <row r="325" spans="1:14" x14ac:dyDescent="0.25">
      <c r="A325" s="423" t="s">
        <v>289</v>
      </c>
      <c r="B325" s="424"/>
      <c r="C325" s="158"/>
      <c r="D325" s="167"/>
      <c r="E325" s="158"/>
      <c r="F325" s="167">
        <f t="shared" ref="F325:L325" si="62">SUM(F322:F324)</f>
        <v>1300</v>
      </c>
      <c r="G325" s="309">
        <f t="shared" si="62"/>
        <v>10700</v>
      </c>
      <c r="H325" s="309">
        <f t="shared" si="62"/>
        <v>2977</v>
      </c>
      <c r="I325" s="309">
        <f t="shared" si="62"/>
        <v>8700</v>
      </c>
      <c r="J325" s="309">
        <f t="shared" si="62"/>
        <v>10500</v>
      </c>
      <c r="K325" s="314">
        <f t="shared" si="62"/>
        <v>10500</v>
      </c>
      <c r="L325" s="314">
        <f t="shared" si="62"/>
        <v>2732.09</v>
      </c>
      <c r="M325" s="136">
        <f>SUM(M322:M324)</f>
        <v>4098.1350000000002</v>
      </c>
      <c r="N325" s="136">
        <f>SUM(N322:N324)</f>
        <v>14500</v>
      </c>
    </row>
    <row r="326" spans="1:14" x14ac:dyDescent="0.25">
      <c r="A326" s="315">
        <v>590.01</v>
      </c>
      <c r="B326" s="316" t="s">
        <v>173</v>
      </c>
      <c r="C326" s="326"/>
      <c r="D326" s="327"/>
      <c r="E326" s="326"/>
      <c r="F326" s="327"/>
      <c r="G326" s="340">
        <v>250</v>
      </c>
      <c r="H326" s="340">
        <v>0</v>
      </c>
      <c r="I326" s="226">
        <v>250</v>
      </c>
      <c r="J326" s="204">
        <v>250</v>
      </c>
      <c r="K326" s="204">
        <v>250</v>
      </c>
      <c r="L326" s="204">
        <v>0</v>
      </c>
      <c r="M326" s="204">
        <f t="shared" si="58"/>
        <v>0</v>
      </c>
      <c r="N326" s="204">
        <v>250</v>
      </c>
    </row>
    <row r="327" spans="1:14" s="86" customFormat="1" x14ac:dyDescent="0.25">
      <c r="A327" s="315">
        <v>590.02</v>
      </c>
      <c r="B327" s="316" t="s">
        <v>174</v>
      </c>
      <c r="C327" s="326"/>
      <c r="D327" s="327"/>
      <c r="E327" s="326"/>
      <c r="F327" s="327">
        <v>35000</v>
      </c>
      <c r="G327" s="340">
        <v>0</v>
      </c>
      <c r="H327" s="340">
        <v>0</v>
      </c>
      <c r="I327" s="204">
        <v>0</v>
      </c>
      <c r="J327" s="204">
        <f>SUM('Budget Req-Street'!E71)</f>
        <v>11000</v>
      </c>
      <c r="K327" s="204">
        <v>11000</v>
      </c>
      <c r="L327" s="204">
        <v>715.96</v>
      </c>
      <c r="M327" s="204">
        <f t="shared" si="58"/>
        <v>1073.94</v>
      </c>
      <c r="N327" s="204">
        <v>11000</v>
      </c>
    </row>
    <row r="328" spans="1:14" x14ac:dyDescent="0.25">
      <c r="A328" s="315">
        <v>590.04</v>
      </c>
      <c r="B328" s="316" t="s">
        <v>175</v>
      </c>
      <c r="C328" s="326"/>
      <c r="D328" s="327"/>
      <c r="E328" s="326"/>
      <c r="F328" s="327">
        <v>8000</v>
      </c>
      <c r="G328" s="340">
        <v>8895</v>
      </c>
      <c r="H328" s="340">
        <v>9168</v>
      </c>
      <c r="I328" s="204">
        <v>9200</v>
      </c>
      <c r="J328" s="204" t="e">
        <f>SUM('Budget Req-Street'!#REF!)</f>
        <v>#REF!</v>
      </c>
      <c r="K328" s="204">
        <v>9000</v>
      </c>
      <c r="L328" s="204">
        <v>9167.8799999999992</v>
      </c>
      <c r="M328" s="204">
        <f t="shared" si="58"/>
        <v>13751.82</v>
      </c>
      <c r="N328" s="204">
        <v>45000</v>
      </c>
    </row>
    <row r="329" spans="1:14" x14ac:dyDescent="0.25">
      <c r="A329" s="360" t="s">
        <v>238</v>
      </c>
      <c r="B329" s="360"/>
      <c r="C329" s="361"/>
      <c r="D329" s="343"/>
      <c r="E329" s="361"/>
      <c r="F329" s="343">
        <f>SUM(F327:F328)</f>
        <v>43000</v>
      </c>
      <c r="G329" s="288">
        <f t="shared" ref="G329:N329" si="63">SUM(G326:G328)</f>
        <v>9145</v>
      </c>
      <c r="H329" s="288">
        <f t="shared" si="63"/>
        <v>9168</v>
      </c>
      <c r="I329" s="288">
        <f t="shared" si="63"/>
        <v>9450</v>
      </c>
      <c r="J329" s="288" t="e">
        <f t="shared" si="63"/>
        <v>#REF!</v>
      </c>
      <c r="K329" s="288">
        <f t="shared" si="63"/>
        <v>20250</v>
      </c>
      <c r="L329" s="288">
        <f t="shared" si="63"/>
        <v>9883.84</v>
      </c>
      <c r="M329" s="136">
        <f t="shared" si="63"/>
        <v>14825.76</v>
      </c>
      <c r="N329" s="136">
        <f t="shared" si="63"/>
        <v>56250</v>
      </c>
    </row>
    <row r="330" spans="1:14" x14ac:dyDescent="0.25">
      <c r="A330" s="611" t="s">
        <v>7</v>
      </c>
      <c r="B330" s="611"/>
      <c r="C330" s="361">
        <f>SUM(C284:C329)</f>
        <v>184035</v>
      </c>
      <c r="D330" s="362">
        <f>SUM(D284:D329)</f>
        <v>91061</v>
      </c>
      <c r="E330" s="362">
        <f>SUM(E284:E329)</f>
        <v>137144</v>
      </c>
      <c r="F330" s="364">
        <f t="shared" ref="F330:N330" si="64">SUM(F289+F299+F306+F312+F317+F321+F325+F329)</f>
        <v>369979.07999999996</v>
      </c>
      <c r="G330" s="365">
        <f t="shared" si="64"/>
        <v>428185</v>
      </c>
      <c r="H330" s="365">
        <f t="shared" si="64"/>
        <v>269677</v>
      </c>
      <c r="I330" s="365">
        <f t="shared" si="64"/>
        <v>451836.38699999999</v>
      </c>
      <c r="J330" s="365" t="e">
        <f t="shared" si="64"/>
        <v>#REF!</v>
      </c>
      <c r="K330" s="365">
        <f t="shared" si="64"/>
        <v>468452</v>
      </c>
      <c r="L330" s="365">
        <f t="shared" si="64"/>
        <v>289655.81000000006</v>
      </c>
      <c r="M330" s="365">
        <f t="shared" si="64"/>
        <v>434483.71499999997</v>
      </c>
      <c r="N330" s="365">
        <f t="shared" si="64"/>
        <v>766150.6</v>
      </c>
    </row>
    <row r="331" spans="1:14" x14ac:dyDescent="0.25">
      <c r="A331" s="111"/>
      <c r="B331" s="157"/>
      <c r="C331" s="158"/>
      <c r="D331" s="159"/>
      <c r="E331" s="159"/>
      <c r="F331" s="160"/>
      <c r="G331" s="124"/>
      <c r="H331" s="161"/>
      <c r="I331" s="162"/>
      <c r="J331" s="43"/>
      <c r="K331" s="186"/>
    </row>
    <row r="332" spans="1:14" x14ac:dyDescent="0.25">
      <c r="A332" s="605"/>
      <c r="B332" s="607"/>
      <c r="C332" s="607"/>
      <c r="D332" s="607"/>
      <c r="E332" s="607"/>
      <c r="F332" s="608"/>
      <c r="G332" s="211"/>
      <c r="H332" s="79"/>
      <c r="I332" s="80" t="str">
        <f>+I2</f>
        <v xml:space="preserve"> Estimated</v>
      </c>
      <c r="J332" s="80" t="s">
        <v>778</v>
      </c>
      <c r="K332" s="80" t="s">
        <v>767</v>
      </c>
      <c r="L332" s="79"/>
      <c r="M332" s="87" t="s">
        <v>655</v>
      </c>
      <c r="N332" s="87" t="s">
        <v>802</v>
      </c>
    </row>
    <row r="333" spans="1:14" x14ac:dyDescent="0.25">
      <c r="A333" s="366" t="s">
        <v>211</v>
      </c>
      <c r="B333" s="367"/>
      <c r="C333" s="368" t="s">
        <v>23</v>
      </c>
      <c r="D333" s="369" t="s">
        <v>26</v>
      </c>
      <c r="E333" s="369" t="s">
        <v>25</v>
      </c>
      <c r="F333" s="131" t="s">
        <v>338</v>
      </c>
      <c r="G333" s="132" t="str">
        <f>+G3</f>
        <v>Budget 2016-17</v>
      </c>
      <c r="H333" s="132" t="str">
        <f>+H3</f>
        <v>Actual 5/31/17</v>
      </c>
      <c r="I333" s="234">
        <f>+I3</f>
        <v>43008</v>
      </c>
      <c r="J333" s="132" t="str">
        <f>+J3</f>
        <v>Budget 2017-18</v>
      </c>
      <c r="K333" s="132" t="s">
        <v>766</v>
      </c>
      <c r="L333" s="132" t="s">
        <v>779</v>
      </c>
      <c r="M333" s="380">
        <v>43373</v>
      </c>
      <c r="N333" s="90" t="s">
        <v>803</v>
      </c>
    </row>
    <row r="334" spans="1:14" x14ac:dyDescent="0.25">
      <c r="A334" s="356" t="s">
        <v>281</v>
      </c>
      <c r="B334" s="370" t="s">
        <v>133</v>
      </c>
      <c r="C334" s="371"/>
      <c r="D334" s="372"/>
      <c r="E334" s="372"/>
      <c r="F334" s="373">
        <v>350</v>
      </c>
      <c r="G334" s="345">
        <v>100</v>
      </c>
      <c r="H334" s="357">
        <v>0</v>
      </c>
      <c r="I334" s="204">
        <v>100</v>
      </c>
      <c r="J334" s="204">
        <f>SUM('Budget Req-Emer Mgmt'!D9)</f>
        <v>100</v>
      </c>
      <c r="K334" s="340">
        <v>100</v>
      </c>
      <c r="L334" s="340">
        <v>0</v>
      </c>
      <c r="M334" s="204">
        <f>(L334/8)*12</f>
        <v>0</v>
      </c>
      <c r="N334" s="204">
        <v>100</v>
      </c>
    </row>
    <row r="335" spans="1:14" x14ac:dyDescent="0.25">
      <c r="A335" s="353">
        <v>520.05999999999995</v>
      </c>
      <c r="B335" s="203" t="s">
        <v>199</v>
      </c>
      <c r="C335" s="349">
        <v>0</v>
      </c>
      <c r="D335" s="344">
        <v>0</v>
      </c>
      <c r="E335" s="344">
        <v>0</v>
      </c>
      <c r="F335" s="344">
        <v>350</v>
      </c>
      <c r="G335" s="256">
        <v>300</v>
      </c>
      <c r="H335" s="256">
        <v>0</v>
      </c>
      <c r="I335" s="204">
        <v>300</v>
      </c>
      <c r="J335" s="204">
        <f>SUM('Budget Req-Emer Mgmt'!D10)</f>
        <v>300</v>
      </c>
      <c r="K335" s="256">
        <v>300</v>
      </c>
      <c r="L335" s="256">
        <v>0</v>
      </c>
      <c r="M335" s="204">
        <f t="shared" ref="M335:M346" si="65">(L335/8)*12</f>
        <v>0</v>
      </c>
      <c r="N335" s="204">
        <v>300</v>
      </c>
    </row>
    <row r="336" spans="1:14" x14ac:dyDescent="0.25">
      <c r="A336" s="257">
        <v>520.07000000000005</v>
      </c>
      <c r="B336" s="203" t="s">
        <v>179</v>
      </c>
      <c r="C336" s="349">
        <v>0</v>
      </c>
      <c r="D336" s="344">
        <v>0</v>
      </c>
      <c r="E336" s="344">
        <v>0</v>
      </c>
      <c r="F336" s="344">
        <v>1000</v>
      </c>
      <c r="G336" s="256">
        <v>500</v>
      </c>
      <c r="H336" s="256">
        <v>0</v>
      </c>
      <c r="I336" s="204">
        <v>500</v>
      </c>
      <c r="J336" s="204">
        <v>500</v>
      </c>
      <c r="K336" s="256">
        <v>500</v>
      </c>
      <c r="L336" s="256">
        <v>0</v>
      </c>
      <c r="M336" s="204">
        <f t="shared" si="65"/>
        <v>0</v>
      </c>
      <c r="N336" s="204">
        <v>500</v>
      </c>
    </row>
    <row r="337" spans="1:14" s="86" customFormat="1" x14ac:dyDescent="0.25">
      <c r="A337" s="431" t="s">
        <v>137</v>
      </c>
      <c r="B337" s="432"/>
      <c r="C337" s="113"/>
      <c r="D337" s="101"/>
      <c r="E337" s="101"/>
      <c r="F337" s="101">
        <f>SUM(F335:F336)</f>
        <v>1350</v>
      </c>
      <c r="G337" s="314">
        <f t="shared" ref="G337:L337" si="66">SUM(G334:G336)</f>
        <v>900</v>
      </c>
      <c r="H337" s="314">
        <f t="shared" si="66"/>
        <v>0</v>
      </c>
      <c r="I337" s="314">
        <f t="shared" si="66"/>
        <v>900</v>
      </c>
      <c r="J337" s="314">
        <f t="shared" si="66"/>
        <v>900</v>
      </c>
      <c r="K337" s="314">
        <f t="shared" si="66"/>
        <v>900</v>
      </c>
      <c r="L337" s="417">
        <f t="shared" si="66"/>
        <v>0</v>
      </c>
      <c r="M337" s="136">
        <f t="shared" si="65"/>
        <v>0</v>
      </c>
      <c r="N337" s="136">
        <f>SUM(N334:N336)</f>
        <v>900</v>
      </c>
    </row>
    <row r="338" spans="1:14" x14ac:dyDescent="0.25">
      <c r="A338" s="257">
        <v>530.01</v>
      </c>
      <c r="B338" s="203" t="s">
        <v>171</v>
      </c>
      <c r="C338" s="349"/>
      <c r="D338" s="344"/>
      <c r="E338" s="344"/>
      <c r="F338" s="344"/>
      <c r="G338" s="256">
        <v>500</v>
      </c>
      <c r="H338" s="256">
        <v>229</v>
      </c>
      <c r="I338" s="204">
        <v>500</v>
      </c>
      <c r="J338" s="204">
        <v>500</v>
      </c>
      <c r="K338" s="226">
        <v>500</v>
      </c>
      <c r="L338" s="226">
        <v>303.92</v>
      </c>
      <c r="M338" s="204">
        <f t="shared" si="65"/>
        <v>455.88</v>
      </c>
      <c r="N338" s="204">
        <v>500</v>
      </c>
    </row>
    <row r="339" spans="1:14" x14ac:dyDescent="0.25">
      <c r="A339" s="257">
        <v>530.13</v>
      </c>
      <c r="B339" s="203" t="s">
        <v>411</v>
      </c>
      <c r="C339" s="349"/>
      <c r="D339" s="344"/>
      <c r="E339" s="344"/>
      <c r="F339" s="344">
        <v>0</v>
      </c>
      <c r="G339" s="256">
        <v>300</v>
      </c>
      <c r="H339" s="256">
        <v>0</v>
      </c>
      <c r="I339" s="204">
        <v>300</v>
      </c>
      <c r="J339" s="204">
        <v>300</v>
      </c>
      <c r="K339" s="226">
        <v>300</v>
      </c>
      <c r="L339" s="226">
        <v>0</v>
      </c>
      <c r="M339" s="204">
        <f t="shared" si="65"/>
        <v>0</v>
      </c>
      <c r="N339" s="204">
        <v>300</v>
      </c>
    </row>
    <row r="340" spans="1:14" s="86" customFormat="1" ht="18.75" thickBot="1" x14ac:dyDescent="0.3">
      <c r="A340" s="433" t="s">
        <v>412</v>
      </c>
      <c r="B340" s="434"/>
      <c r="C340" s="306"/>
      <c r="D340" s="110"/>
      <c r="E340" s="110"/>
      <c r="F340" s="110">
        <f>SUM(F339)</f>
        <v>0</v>
      </c>
      <c r="G340" s="477">
        <f t="shared" ref="G340:L340" si="67">SUM(G338:G339)</f>
        <v>800</v>
      </c>
      <c r="H340" s="477">
        <f t="shared" si="67"/>
        <v>229</v>
      </c>
      <c r="I340" s="411">
        <f t="shared" si="67"/>
        <v>800</v>
      </c>
      <c r="J340" s="411">
        <f t="shared" si="67"/>
        <v>800</v>
      </c>
      <c r="K340" s="411">
        <f t="shared" si="67"/>
        <v>800</v>
      </c>
      <c r="L340" s="478">
        <f t="shared" si="67"/>
        <v>303.92</v>
      </c>
      <c r="M340" s="136">
        <f t="shared" si="65"/>
        <v>455.88</v>
      </c>
      <c r="N340" s="136">
        <f>SUM(N338:N339)</f>
        <v>800</v>
      </c>
    </row>
    <row r="341" spans="1:14" x14ac:dyDescent="0.25">
      <c r="A341" s="238">
        <v>540.07000000000005</v>
      </c>
      <c r="B341" s="196" t="s">
        <v>184</v>
      </c>
      <c r="C341" s="219"/>
      <c r="D341" s="188"/>
      <c r="E341" s="188"/>
      <c r="F341" s="188"/>
      <c r="G341" s="253">
        <v>750</v>
      </c>
      <c r="H341" s="253">
        <v>0</v>
      </c>
      <c r="I341" s="208">
        <v>500</v>
      </c>
      <c r="J341" s="208">
        <f>SUM('Budget Req-Emer Mgmt'!D16)</f>
        <v>500</v>
      </c>
      <c r="K341" s="208">
        <v>500</v>
      </c>
      <c r="L341" s="287">
        <v>8172.21</v>
      </c>
      <c r="M341" s="204">
        <f t="shared" si="65"/>
        <v>12258.315000000001</v>
      </c>
      <c r="N341" s="204">
        <v>500</v>
      </c>
    </row>
    <row r="342" spans="1:14" s="86" customFormat="1" ht="18.75" thickBot="1" x14ac:dyDescent="0.3">
      <c r="A342" s="298" t="s">
        <v>183</v>
      </c>
      <c r="B342" s="305"/>
      <c r="C342" s="306"/>
      <c r="D342" s="110"/>
      <c r="E342" s="110"/>
      <c r="F342" s="110"/>
      <c r="G342" s="479">
        <f t="shared" ref="G342:L342" si="68">SUM(G341)</f>
        <v>750</v>
      </c>
      <c r="H342" s="479">
        <f t="shared" si="68"/>
        <v>0</v>
      </c>
      <c r="I342" s="299">
        <f t="shared" si="68"/>
        <v>500</v>
      </c>
      <c r="J342" s="299">
        <f t="shared" si="68"/>
        <v>500</v>
      </c>
      <c r="K342" s="299">
        <f t="shared" si="68"/>
        <v>500</v>
      </c>
      <c r="L342" s="324">
        <f t="shared" si="68"/>
        <v>8172.21</v>
      </c>
      <c r="M342" s="136">
        <f t="shared" si="65"/>
        <v>12258.315000000001</v>
      </c>
      <c r="N342" s="136">
        <f>SUM(N341)</f>
        <v>500</v>
      </c>
    </row>
    <row r="343" spans="1:14" x14ac:dyDescent="0.25">
      <c r="A343" s="238">
        <v>560.1</v>
      </c>
      <c r="B343" s="196" t="s">
        <v>185</v>
      </c>
      <c r="C343" s="219">
        <v>0</v>
      </c>
      <c r="D343" s="188">
        <v>0</v>
      </c>
      <c r="E343" s="188">
        <v>0</v>
      </c>
      <c r="F343" s="188">
        <v>400</v>
      </c>
      <c r="G343" s="253">
        <v>500</v>
      </c>
      <c r="H343" s="253">
        <v>0</v>
      </c>
      <c r="I343" s="208">
        <v>500</v>
      </c>
      <c r="J343" s="208">
        <f>SUM('Budget Req-Emer Mgmt'!D18)</f>
        <v>500</v>
      </c>
      <c r="K343" s="208">
        <v>500</v>
      </c>
      <c r="L343" s="287">
        <v>200</v>
      </c>
      <c r="M343" s="204">
        <f t="shared" si="65"/>
        <v>300</v>
      </c>
      <c r="N343" s="204">
        <v>500</v>
      </c>
    </row>
    <row r="344" spans="1:14" s="86" customFormat="1" ht="18.75" thickBot="1" x14ac:dyDescent="0.3">
      <c r="A344" s="294" t="s">
        <v>149</v>
      </c>
      <c r="B344" s="305"/>
      <c r="C344" s="306"/>
      <c r="D344" s="110"/>
      <c r="E344" s="110"/>
      <c r="F344" s="110">
        <f t="shared" ref="F344:L344" si="69">SUM(F343)</f>
        <v>400</v>
      </c>
      <c r="G344" s="299">
        <f t="shared" si="69"/>
        <v>500</v>
      </c>
      <c r="H344" s="299">
        <f t="shared" si="69"/>
        <v>0</v>
      </c>
      <c r="I344" s="299">
        <f t="shared" si="69"/>
        <v>500</v>
      </c>
      <c r="J344" s="299">
        <f t="shared" si="69"/>
        <v>500</v>
      </c>
      <c r="K344" s="299">
        <f t="shared" si="69"/>
        <v>500</v>
      </c>
      <c r="L344" s="324">
        <f t="shared" si="69"/>
        <v>200</v>
      </c>
      <c r="M344" s="136">
        <f t="shared" si="65"/>
        <v>300</v>
      </c>
      <c r="N344" s="136">
        <f>SUM(N343)</f>
        <v>500</v>
      </c>
    </row>
    <row r="345" spans="1:14" x14ac:dyDescent="0.25">
      <c r="A345" s="196">
        <v>590.02</v>
      </c>
      <c r="B345" s="196" t="s">
        <v>282</v>
      </c>
      <c r="C345" s="219"/>
      <c r="D345" s="188"/>
      <c r="E345" s="188"/>
      <c r="F345" s="188">
        <v>7000</v>
      </c>
      <c r="G345" s="208">
        <v>2500</v>
      </c>
      <c r="H345" s="208">
        <v>0</v>
      </c>
      <c r="I345" s="208">
        <v>2500</v>
      </c>
      <c r="J345" s="227">
        <f>SUM('Budget Req-Emer Mgmt'!D20)</f>
        <v>2500</v>
      </c>
      <c r="K345" s="208">
        <v>2500</v>
      </c>
      <c r="L345" s="287">
        <v>0</v>
      </c>
      <c r="M345" s="204">
        <f t="shared" si="65"/>
        <v>0</v>
      </c>
      <c r="N345" s="204">
        <v>2500</v>
      </c>
    </row>
    <row r="346" spans="1:14" s="86" customFormat="1" ht="18.75" thickBot="1" x14ac:dyDescent="0.3">
      <c r="A346" s="294" t="s">
        <v>283</v>
      </c>
      <c r="B346" s="305"/>
      <c r="C346" s="306"/>
      <c r="D346" s="480"/>
      <c r="E346" s="480"/>
      <c r="F346" s="110">
        <f t="shared" ref="F346:L346" si="70">SUM(F345)</f>
        <v>7000</v>
      </c>
      <c r="G346" s="299">
        <f t="shared" si="70"/>
        <v>2500</v>
      </c>
      <c r="H346" s="299">
        <f t="shared" si="70"/>
        <v>0</v>
      </c>
      <c r="I346" s="481">
        <f t="shared" si="70"/>
        <v>2500</v>
      </c>
      <c r="J346" s="299">
        <f t="shared" si="70"/>
        <v>2500</v>
      </c>
      <c r="K346" s="299">
        <f t="shared" si="70"/>
        <v>2500</v>
      </c>
      <c r="L346" s="324">
        <f t="shared" si="70"/>
        <v>0</v>
      </c>
      <c r="M346" s="304">
        <f t="shared" si="65"/>
        <v>0</v>
      </c>
      <c r="N346" s="304">
        <f>SUM(N345)</f>
        <v>2500</v>
      </c>
    </row>
    <row r="347" spans="1:14" ht="18.75" thickBot="1" x14ac:dyDescent="0.3">
      <c r="A347" s="596" t="s">
        <v>628</v>
      </c>
      <c r="B347" s="597"/>
      <c r="C347" s="119">
        <f>SUM(C335:C346)</f>
        <v>0</v>
      </c>
      <c r="D347" s="103">
        <f>SUM(D335:D346)</f>
        <v>0</v>
      </c>
      <c r="E347" s="103">
        <f>SUM(E335:E346)</f>
        <v>0</v>
      </c>
      <c r="F347" s="103">
        <f>SUM(F337+F344+F346)</f>
        <v>8750</v>
      </c>
      <c r="G347" s="104">
        <f>SUM(G337+G340+G342+G344+G346)</f>
        <v>5450</v>
      </c>
      <c r="H347" s="104">
        <f>SUM(H337+H340+H344+H346+H342)</f>
        <v>229</v>
      </c>
      <c r="I347" s="104">
        <f>SUM(I337+I340+I344+I346)</f>
        <v>4700</v>
      </c>
      <c r="J347" s="104">
        <f>SUM(J337+J340+J342+J344+J346)</f>
        <v>5200</v>
      </c>
      <c r="K347" s="104">
        <f>SUM(K337+K340+K342+K344+K346)</f>
        <v>5200</v>
      </c>
      <c r="L347" s="352">
        <f>SUM(L337+L340+L342+L344+L346)</f>
        <v>8676.1299999999992</v>
      </c>
      <c r="M347" s="352">
        <f>SUM(M337+M340+M342+M344+M346)</f>
        <v>13014.195</v>
      </c>
      <c r="N347" s="104">
        <f>SUM(N337+N340+N342+N344+N346)</f>
        <v>5200</v>
      </c>
    </row>
    <row r="348" spans="1:14" x14ac:dyDescent="0.25">
      <c r="A348" s="1"/>
      <c r="B348" s="1"/>
      <c r="C348" s="1"/>
      <c r="D348" s="1"/>
      <c r="E348" s="1"/>
      <c r="F348" s="188"/>
      <c r="G348" s="187"/>
      <c r="H348" s="187"/>
      <c r="I348" s="187"/>
      <c r="J348" s="43"/>
    </row>
    <row r="349" spans="1:14" x14ac:dyDescent="0.25">
      <c r="A349" s="605"/>
      <c r="B349" s="606"/>
      <c r="C349" s="606"/>
      <c r="D349" s="606"/>
      <c r="E349" s="606"/>
      <c r="F349" s="591"/>
      <c r="G349" s="211"/>
      <c r="H349" s="79"/>
      <c r="I349" s="80"/>
      <c r="J349" s="80" t="s">
        <v>778</v>
      </c>
      <c r="K349" s="80" t="s">
        <v>767</v>
      </c>
      <c r="L349" s="79"/>
      <c r="M349" s="87" t="s">
        <v>655</v>
      </c>
      <c r="N349" s="87" t="s">
        <v>802</v>
      </c>
    </row>
    <row r="350" spans="1:14" x14ac:dyDescent="0.25">
      <c r="A350" s="81" t="s">
        <v>212</v>
      </c>
      <c r="B350" s="82"/>
      <c r="C350" s="82" t="s">
        <v>27</v>
      </c>
      <c r="D350" s="82" t="s">
        <v>26</v>
      </c>
      <c r="E350" s="82" t="s">
        <v>25</v>
      </c>
      <c r="F350" s="89" t="s">
        <v>338</v>
      </c>
      <c r="G350" s="83" t="s">
        <v>650</v>
      </c>
      <c r="H350" s="83" t="s">
        <v>654</v>
      </c>
      <c r="I350" s="255" t="s">
        <v>775</v>
      </c>
      <c r="J350" s="83" t="s">
        <v>656</v>
      </c>
      <c r="K350" s="83" t="s">
        <v>766</v>
      </c>
      <c r="L350" s="83" t="s">
        <v>779</v>
      </c>
      <c r="M350" s="458">
        <v>43373</v>
      </c>
      <c r="N350" s="90" t="s">
        <v>803</v>
      </c>
    </row>
    <row r="351" spans="1:14" x14ac:dyDescent="0.25">
      <c r="A351" s="262" t="s">
        <v>213</v>
      </c>
      <c r="B351" s="196" t="s">
        <v>127</v>
      </c>
      <c r="C351" s="219">
        <v>2000</v>
      </c>
      <c r="D351" s="188">
        <v>0</v>
      </c>
      <c r="E351" s="188">
        <v>0</v>
      </c>
      <c r="F351" s="188">
        <v>3700</v>
      </c>
      <c r="G351" s="256">
        <v>5000</v>
      </c>
      <c r="H351" s="256">
        <v>2688</v>
      </c>
      <c r="I351" s="204">
        <v>5000</v>
      </c>
      <c r="J351" s="204">
        <v>15000</v>
      </c>
      <c r="K351" s="204">
        <v>15000</v>
      </c>
      <c r="L351" s="204">
        <v>4660.1499999999996</v>
      </c>
      <c r="M351" s="204">
        <f>(L351/8)*12</f>
        <v>6990.2249999999995</v>
      </c>
      <c r="N351" s="204">
        <v>15000</v>
      </c>
    </row>
    <row r="352" spans="1:14" s="86" customFormat="1" x14ac:dyDescent="0.25">
      <c r="A352" s="482" t="s">
        <v>178</v>
      </c>
      <c r="B352" s="308"/>
      <c r="C352" s="113"/>
      <c r="D352" s="101"/>
      <c r="E352" s="101"/>
      <c r="F352" s="101">
        <f t="shared" ref="F352:L352" si="71">SUM(F351)</f>
        <v>3700</v>
      </c>
      <c r="G352" s="304">
        <f t="shared" si="71"/>
        <v>5000</v>
      </c>
      <c r="H352" s="304">
        <f t="shared" si="71"/>
        <v>2688</v>
      </c>
      <c r="I352" s="304">
        <f t="shared" si="71"/>
        <v>5000</v>
      </c>
      <c r="J352" s="304">
        <f t="shared" si="71"/>
        <v>15000</v>
      </c>
      <c r="K352" s="304">
        <f t="shared" si="71"/>
        <v>15000</v>
      </c>
      <c r="L352" s="304">
        <f t="shared" si="71"/>
        <v>4660.1499999999996</v>
      </c>
      <c r="M352" s="136">
        <f t="shared" ref="M352:M363" si="72">(L352/8)*12</f>
        <v>6990.2249999999995</v>
      </c>
      <c r="N352" s="136">
        <f>SUM(N351)</f>
        <v>15000</v>
      </c>
    </row>
    <row r="353" spans="1:14" x14ac:dyDescent="0.25">
      <c r="A353" s="325">
        <v>520.09</v>
      </c>
      <c r="B353" s="316" t="s">
        <v>180</v>
      </c>
      <c r="C353" s="326"/>
      <c r="D353" s="327"/>
      <c r="E353" s="327"/>
      <c r="F353" s="327">
        <v>0</v>
      </c>
      <c r="G353" s="226">
        <v>800</v>
      </c>
      <c r="H353" s="340">
        <v>0</v>
      </c>
      <c r="I353" s="226">
        <v>600</v>
      </c>
      <c r="J353" s="226">
        <f>SUM('Budget Req-Airport'!D11)</f>
        <v>800</v>
      </c>
      <c r="K353" s="226">
        <v>800</v>
      </c>
      <c r="L353" s="226">
        <v>0</v>
      </c>
      <c r="M353" s="204">
        <f t="shared" si="72"/>
        <v>0</v>
      </c>
      <c r="N353" s="204">
        <v>800</v>
      </c>
    </row>
    <row r="354" spans="1:14" x14ac:dyDescent="0.25">
      <c r="A354" s="325">
        <v>520.1</v>
      </c>
      <c r="B354" s="316" t="s">
        <v>786</v>
      </c>
      <c r="C354" s="326"/>
      <c r="D354" s="327"/>
      <c r="E354" s="327"/>
      <c r="F354" s="327"/>
      <c r="G354" s="226"/>
      <c r="H354" s="340"/>
      <c r="I354" s="226"/>
      <c r="J354" s="226"/>
      <c r="K354" s="226"/>
      <c r="L354" s="226">
        <v>920</v>
      </c>
      <c r="M354" s="204">
        <f t="shared" si="72"/>
        <v>1380</v>
      </c>
      <c r="N354" s="204">
        <v>1000</v>
      </c>
    </row>
    <row r="355" spans="1:14" s="86" customFormat="1" x14ac:dyDescent="0.25">
      <c r="A355" s="483" t="s">
        <v>137</v>
      </c>
      <c r="B355" s="484"/>
      <c r="C355" s="113"/>
      <c r="D355" s="167"/>
      <c r="E355" s="167"/>
      <c r="F355" s="101" t="e">
        <f>SUM(#REF!)</f>
        <v>#REF!</v>
      </c>
      <c r="G355" s="314">
        <f>SUM(G353:G353)</f>
        <v>800</v>
      </c>
      <c r="H355" s="314">
        <f>SUM(H353:H353)</f>
        <v>0</v>
      </c>
      <c r="I355" s="314">
        <f>SUM(I353:I353)</f>
        <v>600</v>
      </c>
      <c r="J355" s="314">
        <f>SUM(J353:J353)</f>
        <v>800</v>
      </c>
      <c r="K355" s="314">
        <f>SUM(K353:K353)</f>
        <v>800</v>
      </c>
      <c r="L355" s="417">
        <f>SUM(L353:L354)</f>
        <v>920</v>
      </c>
      <c r="M355" s="136">
        <f t="shared" si="72"/>
        <v>1380</v>
      </c>
      <c r="N355" s="136">
        <f>SUM(N353:N354)</f>
        <v>1800</v>
      </c>
    </row>
    <row r="356" spans="1:14" x14ac:dyDescent="0.25">
      <c r="A356" s="315">
        <v>530.03</v>
      </c>
      <c r="B356" s="316" t="s">
        <v>475</v>
      </c>
      <c r="C356" s="349">
        <v>10000</v>
      </c>
      <c r="D356" s="344">
        <v>720</v>
      </c>
      <c r="E356" s="344">
        <v>1100</v>
      </c>
      <c r="F356" s="344">
        <v>2000</v>
      </c>
      <c r="G356" s="256">
        <v>2000</v>
      </c>
      <c r="H356" s="256">
        <v>702</v>
      </c>
      <c r="I356" s="204">
        <v>2000</v>
      </c>
      <c r="J356" s="204">
        <f>SUM('Budget Req-Airport'!D14)</f>
        <v>2000</v>
      </c>
      <c r="K356" s="204">
        <v>2000</v>
      </c>
      <c r="L356" s="204">
        <v>765.75</v>
      </c>
      <c r="M356" s="204">
        <f t="shared" si="72"/>
        <v>1148.625</v>
      </c>
      <c r="N356" s="204">
        <v>2000</v>
      </c>
    </row>
    <row r="357" spans="1:14" s="86" customFormat="1" x14ac:dyDescent="0.25">
      <c r="A357" s="257">
        <v>530.1</v>
      </c>
      <c r="B357" s="203" t="s">
        <v>193</v>
      </c>
      <c r="C357" s="349">
        <v>700</v>
      </c>
      <c r="D357" s="344">
        <v>297</v>
      </c>
      <c r="E357" s="344">
        <v>297</v>
      </c>
      <c r="F357" s="344">
        <v>400</v>
      </c>
      <c r="G357" s="256">
        <v>500</v>
      </c>
      <c r="H357" s="256">
        <v>277</v>
      </c>
      <c r="I357" s="226">
        <v>500</v>
      </c>
      <c r="J357" s="204">
        <v>500</v>
      </c>
      <c r="K357" s="204">
        <v>500</v>
      </c>
      <c r="L357" s="204">
        <v>325.52999999999997</v>
      </c>
      <c r="M357" s="204">
        <f t="shared" si="72"/>
        <v>488.29499999999996</v>
      </c>
      <c r="N357" s="204">
        <v>500</v>
      </c>
    </row>
    <row r="358" spans="1:14" x14ac:dyDescent="0.25">
      <c r="A358" s="257">
        <v>530.11</v>
      </c>
      <c r="B358" s="203" t="s">
        <v>2</v>
      </c>
      <c r="C358" s="349">
        <v>5500</v>
      </c>
      <c r="D358" s="344">
        <v>749</v>
      </c>
      <c r="E358" s="344">
        <v>1130</v>
      </c>
      <c r="F358" s="344">
        <v>3300</v>
      </c>
      <c r="G358" s="256">
        <v>2500</v>
      </c>
      <c r="H358" s="256">
        <v>2195</v>
      </c>
      <c r="I358" s="204">
        <v>3700</v>
      </c>
      <c r="J358" s="204">
        <v>3700</v>
      </c>
      <c r="K358" s="204">
        <v>3700</v>
      </c>
      <c r="L358" s="204">
        <v>2945.97</v>
      </c>
      <c r="M358" s="204">
        <f t="shared" si="72"/>
        <v>4418.9549999999999</v>
      </c>
      <c r="N358" s="204">
        <v>4500</v>
      </c>
    </row>
    <row r="359" spans="1:14" s="86" customFormat="1" x14ac:dyDescent="0.25">
      <c r="A359" s="431" t="s">
        <v>138</v>
      </c>
      <c r="B359" s="432"/>
      <c r="C359" s="113"/>
      <c r="D359" s="101"/>
      <c r="E359" s="101"/>
      <c r="F359" s="101">
        <f t="shared" ref="F359:L359" si="73">SUM(F356:F358)</f>
        <v>5700</v>
      </c>
      <c r="G359" s="314">
        <f t="shared" si="73"/>
        <v>5000</v>
      </c>
      <c r="H359" s="314">
        <f t="shared" si="73"/>
        <v>3174</v>
      </c>
      <c r="I359" s="314">
        <f t="shared" si="73"/>
        <v>6200</v>
      </c>
      <c r="J359" s="314">
        <f t="shared" si="73"/>
        <v>6200</v>
      </c>
      <c r="K359" s="314">
        <f t="shared" si="73"/>
        <v>6200</v>
      </c>
      <c r="L359" s="417">
        <f t="shared" si="73"/>
        <v>4037.25</v>
      </c>
      <c r="M359" s="136">
        <f t="shared" si="72"/>
        <v>6055.875</v>
      </c>
      <c r="N359" s="136">
        <f>SUM(N356:N358)</f>
        <v>7000</v>
      </c>
    </row>
    <row r="360" spans="1:14" x14ac:dyDescent="0.25">
      <c r="A360" s="257">
        <v>540.01</v>
      </c>
      <c r="B360" s="203" t="s">
        <v>153</v>
      </c>
      <c r="C360" s="349">
        <v>500</v>
      </c>
      <c r="D360" s="344">
        <v>175</v>
      </c>
      <c r="E360" s="344">
        <v>270</v>
      </c>
      <c r="F360" s="344">
        <v>0</v>
      </c>
      <c r="G360" s="256">
        <v>100</v>
      </c>
      <c r="H360" s="256">
        <v>0</v>
      </c>
      <c r="I360" s="204">
        <v>100</v>
      </c>
      <c r="J360" s="204">
        <v>100</v>
      </c>
      <c r="K360" s="204">
        <v>100</v>
      </c>
      <c r="L360" s="204">
        <v>3130</v>
      </c>
      <c r="M360" s="204">
        <f t="shared" si="72"/>
        <v>4695</v>
      </c>
      <c r="N360" s="204">
        <v>5000</v>
      </c>
    </row>
    <row r="361" spans="1:14" x14ac:dyDescent="0.25">
      <c r="A361" s="257">
        <v>540.07000000000005</v>
      </c>
      <c r="B361" s="203" t="s">
        <v>215</v>
      </c>
      <c r="C361" s="349">
        <v>500</v>
      </c>
      <c r="D361" s="344">
        <v>0</v>
      </c>
      <c r="E361" s="344">
        <v>0</v>
      </c>
      <c r="F361" s="344">
        <v>6500</v>
      </c>
      <c r="G361" s="256">
        <v>5000</v>
      </c>
      <c r="H361" s="256">
        <v>6850</v>
      </c>
      <c r="I361" s="204">
        <v>6850</v>
      </c>
      <c r="J361" s="204">
        <f>SUM('Budget Req-Airport'!D19)</f>
        <v>5000</v>
      </c>
      <c r="K361" s="204">
        <v>5000</v>
      </c>
      <c r="L361" s="204">
        <v>2893.72</v>
      </c>
      <c r="M361" s="204">
        <f t="shared" si="72"/>
        <v>4340.58</v>
      </c>
      <c r="N361" s="204">
        <v>5000</v>
      </c>
    </row>
    <row r="362" spans="1:14" x14ac:dyDescent="0.25">
      <c r="A362" s="257">
        <v>540.09</v>
      </c>
      <c r="B362" s="203" t="s">
        <v>184</v>
      </c>
      <c r="C362" s="349"/>
      <c r="D362" s="344"/>
      <c r="E362" s="344"/>
      <c r="F362" s="344">
        <v>25000</v>
      </c>
      <c r="G362" s="256">
        <v>20000</v>
      </c>
      <c r="H362" s="256">
        <v>3127</v>
      </c>
      <c r="I362" s="204">
        <v>20000</v>
      </c>
      <c r="J362" s="204">
        <f>SUM('Budget Req-Airport'!D20)</f>
        <v>25000</v>
      </c>
      <c r="K362" s="204">
        <v>25000</v>
      </c>
      <c r="L362" s="204">
        <v>17016</v>
      </c>
      <c r="M362" s="204">
        <f t="shared" si="72"/>
        <v>25524</v>
      </c>
      <c r="N362" s="204">
        <v>25000</v>
      </c>
    </row>
    <row r="363" spans="1:14" s="86" customFormat="1" ht="18.75" thickBot="1" x14ac:dyDescent="0.3">
      <c r="A363" s="301" t="s">
        <v>214</v>
      </c>
      <c r="B363" s="301"/>
      <c r="C363" s="437"/>
      <c r="D363" s="346"/>
      <c r="E363" s="346"/>
      <c r="F363" s="346">
        <f t="shared" ref="F363:L363" si="74">SUM(F360:F362)</f>
        <v>31500</v>
      </c>
      <c r="G363" s="136">
        <f t="shared" si="74"/>
        <v>25100</v>
      </c>
      <c r="H363" s="136">
        <f t="shared" si="74"/>
        <v>9977</v>
      </c>
      <c r="I363" s="136">
        <f t="shared" si="74"/>
        <v>26950</v>
      </c>
      <c r="J363" s="136">
        <f t="shared" si="74"/>
        <v>30100</v>
      </c>
      <c r="K363" s="304">
        <f t="shared" si="74"/>
        <v>30100</v>
      </c>
      <c r="L363" s="304">
        <f t="shared" si="74"/>
        <v>23039.72</v>
      </c>
      <c r="M363" s="304">
        <f t="shared" si="72"/>
        <v>34559.58</v>
      </c>
      <c r="N363" s="304">
        <f>SUM(N360:N362)</f>
        <v>35000</v>
      </c>
    </row>
    <row r="364" spans="1:14" ht="18.75" thickBot="1" x14ac:dyDescent="0.3">
      <c r="A364" s="596" t="s">
        <v>9</v>
      </c>
      <c r="B364" s="597"/>
      <c r="C364" s="306">
        <f>SUM(C351:C363)</f>
        <v>19200</v>
      </c>
      <c r="D364" s="374">
        <f>SUM(D351:D363)</f>
        <v>1941</v>
      </c>
      <c r="E364" s="374">
        <f>SUM(E351:E363)</f>
        <v>2797</v>
      </c>
      <c r="F364" s="374" t="e">
        <f t="shared" ref="F364:L364" si="75">SUM(F352+F355+F359+F363)</f>
        <v>#REF!</v>
      </c>
      <c r="G364" s="375">
        <f t="shared" si="75"/>
        <v>35900</v>
      </c>
      <c r="H364" s="375">
        <f t="shared" si="75"/>
        <v>15839</v>
      </c>
      <c r="I364" s="375">
        <f t="shared" si="75"/>
        <v>38750</v>
      </c>
      <c r="J364" s="375">
        <f t="shared" si="75"/>
        <v>52100</v>
      </c>
      <c r="K364" s="429">
        <f t="shared" si="75"/>
        <v>52100</v>
      </c>
      <c r="L364" s="429">
        <f t="shared" si="75"/>
        <v>32657.120000000003</v>
      </c>
      <c r="M364" s="104">
        <f>SUM(M351:M363)</f>
        <v>97971.36</v>
      </c>
      <c r="N364" s="429">
        <f>SUM(N352+N355+N359+N363)</f>
        <v>58800</v>
      </c>
    </row>
    <row r="365" spans="1:14" x14ac:dyDescent="0.25">
      <c r="A365" s="1"/>
      <c r="B365" s="1"/>
      <c r="C365" s="1"/>
      <c r="D365" s="1"/>
      <c r="E365" s="1"/>
      <c r="F365" s="1"/>
      <c r="G365" s="187"/>
      <c r="H365" s="187"/>
      <c r="I365" s="187"/>
      <c r="J365" s="187"/>
      <c r="M365" s="43"/>
      <c r="N365" s="43"/>
    </row>
    <row r="366" spans="1:14" s="242" customFormat="1" x14ac:dyDescent="0.25">
      <c r="A366" s="605"/>
      <c r="B366" s="606"/>
      <c r="C366" s="606"/>
      <c r="D366" s="606"/>
      <c r="E366" s="606"/>
      <c r="F366" s="591"/>
      <c r="G366" s="211"/>
      <c r="H366" s="79"/>
      <c r="I366" s="80" t="str">
        <f>+I2</f>
        <v xml:space="preserve"> Estimated</v>
      </c>
      <c r="J366" s="80" t="s">
        <v>778</v>
      </c>
      <c r="K366" s="80" t="s">
        <v>765</v>
      </c>
      <c r="L366" s="79"/>
      <c r="M366" s="87" t="s">
        <v>655</v>
      </c>
      <c r="N366" s="87" t="s">
        <v>802</v>
      </c>
    </row>
    <row r="367" spans="1:14" x14ac:dyDescent="0.25">
      <c r="A367" s="81" t="s">
        <v>216</v>
      </c>
      <c r="B367" s="82"/>
      <c r="C367" s="82" t="s">
        <v>23</v>
      </c>
      <c r="D367" s="82" t="s">
        <v>26</v>
      </c>
      <c r="E367" s="82" t="s">
        <v>25</v>
      </c>
      <c r="F367" s="89" t="s">
        <v>338</v>
      </c>
      <c r="G367" s="83" t="str">
        <f>+G3</f>
        <v>Budget 2016-17</v>
      </c>
      <c r="H367" s="83" t="str">
        <f>+H3</f>
        <v>Actual 5/31/17</v>
      </c>
      <c r="I367" s="209">
        <f>+I3</f>
        <v>43008</v>
      </c>
      <c r="J367" s="83" t="str">
        <f>+J3</f>
        <v>Budget 2017-18</v>
      </c>
      <c r="K367" s="83" t="s">
        <v>766</v>
      </c>
      <c r="L367" s="83" t="s">
        <v>779</v>
      </c>
      <c r="M367" s="380">
        <v>43373</v>
      </c>
      <c r="N367" s="90" t="s">
        <v>803</v>
      </c>
    </row>
    <row r="368" spans="1:14" x14ac:dyDescent="0.25">
      <c r="A368" s="353" t="s">
        <v>217</v>
      </c>
      <c r="B368" s="203" t="s">
        <v>170</v>
      </c>
      <c r="C368" s="376">
        <v>500</v>
      </c>
      <c r="D368" s="344">
        <v>337</v>
      </c>
      <c r="E368" s="349">
        <v>500</v>
      </c>
      <c r="F368" s="344">
        <v>500</v>
      </c>
      <c r="G368" s="256">
        <v>500</v>
      </c>
      <c r="H368" s="256">
        <v>225</v>
      </c>
      <c r="I368" s="204">
        <v>500</v>
      </c>
      <c r="J368" s="204">
        <f>SUM('Budget Req-Library'!D10)</f>
        <v>600</v>
      </c>
      <c r="K368" s="204">
        <v>600</v>
      </c>
      <c r="L368" s="204">
        <v>0</v>
      </c>
      <c r="M368" s="226">
        <f>(L368/8)*12</f>
        <v>0</v>
      </c>
      <c r="N368" s="226">
        <v>600</v>
      </c>
    </row>
    <row r="369" spans="1:18" s="487" customFormat="1" x14ac:dyDescent="0.25">
      <c r="A369" s="300" t="s">
        <v>137</v>
      </c>
      <c r="B369" s="308"/>
      <c r="C369" s="485"/>
      <c r="D369" s="303"/>
      <c r="E369" s="302"/>
      <c r="F369" s="303">
        <f t="shared" ref="F369:L369" si="76">SUM(F368:F368)</f>
        <v>500</v>
      </c>
      <c r="G369" s="304">
        <f t="shared" si="76"/>
        <v>500</v>
      </c>
      <c r="H369" s="304">
        <f t="shared" si="76"/>
        <v>225</v>
      </c>
      <c r="I369" s="304">
        <f t="shared" si="76"/>
        <v>500</v>
      </c>
      <c r="J369" s="304">
        <f t="shared" si="76"/>
        <v>600</v>
      </c>
      <c r="K369" s="304">
        <f t="shared" si="76"/>
        <v>600</v>
      </c>
      <c r="L369" s="486">
        <f t="shared" si="76"/>
        <v>0</v>
      </c>
      <c r="M369" s="288">
        <f t="shared" ref="M369:M375" si="77">(L369/8)*12</f>
        <v>0</v>
      </c>
      <c r="N369" s="136">
        <f>SUM(N368)</f>
        <v>600</v>
      </c>
    </row>
    <row r="370" spans="1:18" x14ac:dyDescent="0.25">
      <c r="A370" s="257">
        <v>530.01</v>
      </c>
      <c r="B370" s="203" t="s">
        <v>171</v>
      </c>
      <c r="C370" s="376"/>
      <c r="D370" s="344"/>
      <c r="E370" s="349"/>
      <c r="F370" s="344">
        <v>3000</v>
      </c>
      <c r="G370" s="256">
        <v>3800</v>
      </c>
      <c r="H370" s="256">
        <v>2787</v>
      </c>
      <c r="I370" s="204">
        <v>4500</v>
      </c>
      <c r="J370" s="204">
        <f>SUM('Budget Req-Library'!D12)</f>
        <v>4500</v>
      </c>
      <c r="K370" s="204">
        <v>4500</v>
      </c>
      <c r="L370" s="204">
        <v>3035.17</v>
      </c>
      <c r="M370" s="226">
        <f>(L370/8)*12</f>
        <v>4552.7550000000001</v>
      </c>
      <c r="N370" s="226">
        <v>4500</v>
      </c>
    </row>
    <row r="371" spans="1:18" s="487" customFormat="1" ht="18.75" thickBot="1" x14ac:dyDescent="0.3">
      <c r="A371" s="433" t="s">
        <v>768</v>
      </c>
      <c r="B371" s="434"/>
      <c r="C371" s="374"/>
      <c r="D371" s="110"/>
      <c r="E371" s="306"/>
      <c r="F371" s="110">
        <f>SUM(F370)</f>
        <v>3000</v>
      </c>
      <c r="G371" s="411" t="e">
        <f>SUM(G370+#REF!)</f>
        <v>#REF!</v>
      </c>
      <c r="H371" s="411" t="e">
        <f>SUM(H370+#REF!)</f>
        <v>#REF!</v>
      </c>
      <c r="I371" s="411" t="e">
        <f>SUM(I370+#REF!)</f>
        <v>#REF!</v>
      </c>
      <c r="J371" s="411" t="e">
        <f>SUM(J370+#REF!)</f>
        <v>#REF!</v>
      </c>
      <c r="K371" s="411">
        <f>SUM(K370)</f>
        <v>4500</v>
      </c>
      <c r="L371" s="478">
        <f>SUM(L370)</f>
        <v>3035.17</v>
      </c>
      <c r="M371" s="288">
        <f t="shared" si="77"/>
        <v>4552.7550000000001</v>
      </c>
      <c r="N371" s="136">
        <f>SUM(N370)</f>
        <v>4500</v>
      </c>
    </row>
    <row r="372" spans="1:18" x14ac:dyDescent="0.25">
      <c r="A372" s="238">
        <v>540.01</v>
      </c>
      <c r="B372" s="196" t="s">
        <v>220</v>
      </c>
      <c r="C372" s="189"/>
      <c r="D372" s="188"/>
      <c r="E372" s="219"/>
      <c r="F372" s="188">
        <v>1000</v>
      </c>
      <c r="G372" s="253">
        <v>1000</v>
      </c>
      <c r="H372" s="253">
        <v>0</v>
      </c>
      <c r="I372" s="208">
        <v>800</v>
      </c>
      <c r="J372" s="208">
        <f>SUM('Budget Req-Library'!D14)</f>
        <v>1000</v>
      </c>
      <c r="K372" s="208">
        <v>1000</v>
      </c>
      <c r="L372" s="287">
        <v>0</v>
      </c>
      <c r="M372" s="226">
        <f t="shared" si="77"/>
        <v>0</v>
      </c>
      <c r="N372" s="204">
        <v>1000</v>
      </c>
    </row>
    <row r="373" spans="1:18" s="86" customFormat="1" ht="18.75" thickBot="1" x14ac:dyDescent="0.3">
      <c r="A373" s="298" t="s">
        <v>219</v>
      </c>
      <c r="B373" s="305"/>
      <c r="C373" s="374"/>
      <c r="D373" s="110"/>
      <c r="E373" s="306"/>
      <c r="F373" s="110">
        <f t="shared" ref="F373:L373" si="78">SUM(F372)</f>
        <v>1000</v>
      </c>
      <c r="G373" s="299">
        <f t="shared" si="78"/>
        <v>1000</v>
      </c>
      <c r="H373" s="299">
        <f t="shared" si="78"/>
        <v>0</v>
      </c>
      <c r="I373" s="299">
        <f t="shared" si="78"/>
        <v>800</v>
      </c>
      <c r="J373" s="299">
        <f t="shared" si="78"/>
        <v>1000</v>
      </c>
      <c r="K373" s="299">
        <f t="shared" si="78"/>
        <v>1000</v>
      </c>
      <c r="L373" s="324">
        <f t="shared" si="78"/>
        <v>0</v>
      </c>
      <c r="M373" s="288">
        <f t="shared" si="77"/>
        <v>0</v>
      </c>
      <c r="N373" s="136">
        <f>SUM(N372)</f>
        <v>1000</v>
      </c>
      <c r="R373" s="93"/>
    </row>
    <row r="374" spans="1:18" x14ac:dyDescent="0.25">
      <c r="A374" s="238">
        <v>550.05999999999995</v>
      </c>
      <c r="B374" s="196" t="s">
        <v>218</v>
      </c>
      <c r="C374" s="189">
        <v>0</v>
      </c>
      <c r="D374" s="188">
        <v>0</v>
      </c>
      <c r="E374" s="219">
        <v>0</v>
      </c>
      <c r="F374" s="188">
        <v>1000</v>
      </c>
      <c r="G374" s="253">
        <v>500</v>
      </c>
      <c r="H374" s="253">
        <v>0</v>
      </c>
      <c r="I374" s="208">
        <v>500</v>
      </c>
      <c r="J374" s="208">
        <f>SUM('Budget Req-Library'!D16)</f>
        <v>1000</v>
      </c>
      <c r="K374" s="208">
        <v>1000</v>
      </c>
      <c r="L374" s="287">
        <v>0</v>
      </c>
      <c r="M374" s="226">
        <f t="shared" si="77"/>
        <v>0</v>
      </c>
      <c r="N374" s="204">
        <v>1000</v>
      </c>
      <c r="R374" s="249"/>
    </row>
    <row r="375" spans="1:18" s="86" customFormat="1" ht="18.75" thickBot="1" x14ac:dyDescent="0.3">
      <c r="A375" s="488" t="s">
        <v>871</v>
      </c>
      <c r="B375" s="305"/>
      <c r="C375" s="374"/>
      <c r="D375" s="110"/>
      <c r="E375" s="306"/>
      <c r="F375" s="110">
        <f t="shared" ref="F375:L375" si="79">SUM(F374)</f>
        <v>1000</v>
      </c>
      <c r="G375" s="299">
        <f t="shared" si="79"/>
        <v>500</v>
      </c>
      <c r="H375" s="299">
        <f t="shared" si="79"/>
        <v>0</v>
      </c>
      <c r="I375" s="299">
        <f t="shared" si="79"/>
        <v>500</v>
      </c>
      <c r="J375" s="299">
        <f t="shared" si="79"/>
        <v>1000</v>
      </c>
      <c r="K375" s="299">
        <f t="shared" si="79"/>
        <v>1000</v>
      </c>
      <c r="L375" s="324">
        <f t="shared" si="79"/>
        <v>0</v>
      </c>
      <c r="M375" s="288">
        <f t="shared" si="77"/>
        <v>0</v>
      </c>
      <c r="N375" s="136">
        <f>SUM(N374)</f>
        <v>1000</v>
      </c>
      <c r="R375" s="93"/>
    </row>
    <row r="376" spans="1:18" ht="18.75" thickBot="1" x14ac:dyDescent="0.3">
      <c r="A376" s="592" t="s">
        <v>10</v>
      </c>
      <c r="B376" s="593"/>
      <c r="C376" s="154">
        <f>SUM(C368:C368)</f>
        <v>500</v>
      </c>
      <c r="D376" s="154">
        <f>SUM(D368:D374)</f>
        <v>337</v>
      </c>
      <c r="E376" s="154">
        <f>SUM(E368:E374)</f>
        <v>500</v>
      </c>
      <c r="F376" s="154">
        <f>SUM(F369+F371+F373+F375)</f>
        <v>5500</v>
      </c>
      <c r="G376" s="155" t="e">
        <f>SUM(G369+G371+G373+G375)</f>
        <v>#REF!</v>
      </c>
      <c r="H376" s="155" t="e">
        <f>SUM(H369+H371+H373+H375)</f>
        <v>#REF!</v>
      </c>
      <c r="I376" s="155" t="e">
        <f>SUM(I369+I371+I373+I375)</f>
        <v>#REF!</v>
      </c>
      <c r="J376" s="151" t="e">
        <f>J369+J371+J373+J375</f>
        <v>#REF!</v>
      </c>
      <c r="K376" s="155">
        <f>SUM(K369+K371+K373+K375)</f>
        <v>7100</v>
      </c>
      <c r="L376" s="347">
        <f>SUM(L369+L371+L373+L375)</f>
        <v>3035.17</v>
      </c>
      <c r="M376" s="347">
        <f>SUM(M369+M371+M373+M375)</f>
        <v>4552.7550000000001</v>
      </c>
      <c r="N376" s="155">
        <f>SUM(N369+N371+N373+N375)</f>
        <v>7100</v>
      </c>
      <c r="R376" s="249"/>
    </row>
    <row r="377" spans="1:18" x14ac:dyDescent="0.25">
      <c r="A377" s="94"/>
      <c r="B377" s="112"/>
      <c r="C377" s="113"/>
      <c r="D377" s="114"/>
      <c r="E377" s="114"/>
      <c r="F377" s="115"/>
      <c r="G377" s="116"/>
      <c r="H377" s="117"/>
      <c r="I377" s="118"/>
      <c r="J377" s="187"/>
      <c r="R377" s="249"/>
    </row>
    <row r="378" spans="1:18" x14ac:dyDescent="0.25">
      <c r="A378" s="605"/>
      <c r="B378" s="606"/>
      <c r="C378" s="606"/>
      <c r="D378" s="606"/>
      <c r="E378" s="606"/>
      <c r="F378" s="591"/>
      <c r="G378" s="211"/>
      <c r="H378" s="79"/>
      <c r="I378" s="80" t="str">
        <f>+I2</f>
        <v xml:space="preserve"> Estimated</v>
      </c>
      <c r="J378" s="80" t="s">
        <v>778</v>
      </c>
      <c r="K378" s="80" t="s">
        <v>767</v>
      </c>
      <c r="L378" s="79"/>
      <c r="M378" s="87" t="s">
        <v>655</v>
      </c>
      <c r="N378" s="87" t="s">
        <v>802</v>
      </c>
      <c r="R378" s="249"/>
    </row>
    <row r="379" spans="1:18" x14ac:dyDescent="0.25">
      <c r="A379" s="81" t="s">
        <v>221</v>
      </c>
      <c r="B379" s="82"/>
      <c r="C379" s="82" t="s">
        <v>27</v>
      </c>
      <c r="D379" s="82" t="s">
        <v>26</v>
      </c>
      <c r="E379" s="82" t="s">
        <v>25</v>
      </c>
      <c r="F379" s="89" t="s">
        <v>338</v>
      </c>
      <c r="G379" s="83" t="str">
        <f>+G3</f>
        <v>Budget 2016-17</v>
      </c>
      <c r="H379" s="83" t="str">
        <f>+H3</f>
        <v>Actual 5/31/17</v>
      </c>
      <c r="I379" s="209">
        <f>+I3</f>
        <v>43008</v>
      </c>
      <c r="J379" s="83" t="str">
        <f>+J3</f>
        <v>Budget 2017-18</v>
      </c>
      <c r="K379" s="83" t="s">
        <v>766</v>
      </c>
      <c r="L379" s="83" t="s">
        <v>779</v>
      </c>
      <c r="M379" s="458">
        <v>43373</v>
      </c>
      <c r="N379" s="90" t="s">
        <v>803</v>
      </c>
      <c r="R379" s="249"/>
    </row>
    <row r="380" spans="1:18" x14ac:dyDescent="0.25">
      <c r="A380" s="325" t="s">
        <v>222</v>
      </c>
      <c r="B380" s="316" t="s">
        <v>5</v>
      </c>
      <c r="C380" s="360"/>
      <c r="D380" s="360"/>
      <c r="E380" s="360"/>
      <c r="F380" s="342">
        <v>59932</v>
      </c>
      <c r="G380" s="205">
        <v>77943</v>
      </c>
      <c r="H380" s="205">
        <v>71389</v>
      </c>
      <c r="I380" s="205">
        <f>+H380+(7600*4)</f>
        <v>101789</v>
      </c>
      <c r="J380" s="226">
        <f>SUM('Personnel Sched-Park'!I19)*1.02</f>
        <v>131084.98788</v>
      </c>
      <c r="K380" s="226">
        <v>114281</v>
      </c>
      <c r="L380" s="226">
        <v>79633.97</v>
      </c>
      <c r="M380" s="204">
        <f>(L380/8)*12</f>
        <v>119450.955</v>
      </c>
      <c r="N380" s="204">
        <v>116155</v>
      </c>
      <c r="R380" s="249"/>
    </row>
    <row r="381" spans="1:18" x14ac:dyDescent="0.25">
      <c r="A381" s="325">
        <v>510.02</v>
      </c>
      <c r="B381" s="316" t="s">
        <v>664</v>
      </c>
      <c r="C381" s="360"/>
      <c r="D381" s="360"/>
      <c r="E381" s="360"/>
      <c r="F381" s="342"/>
      <c r="G381" s="205">
        <v>15000</v>
      </c>
      <c r="H381" s="205">
        <v>0</v>
      </c>
      <c r="I381" s="205">
        <v>0</v>
      </c>
      <c r="J381" s="226">
        <f>SUM('Personnel Sched-Park'!I20)</f>
        <v>0</v>
      </c>
      <c r="K381" s="226">
        <v>11138</v>
      </c>
      <c r="L381" s="226">
        <v>7273.56</v>
      </c>
      <c r="M381" s="204">
        <f t="shared" ref="M381:M414" si="80">(L381/8)*12</f>
        <v>10910.34</v>
      </c>
      <c r="N381" s="204">
        <v>12360</v>
      </c>
      <c r="R381" s="249"/>
    </row>
    <row r="382" spans="1:18" x14ac:dyDescent="0.25">
      <c r="A382" s="315">
        <v>510.05</v>
      </c>
      <c r="B382" s="316" t="s">
        <v>164</v>
      </c>
      <c r="C382" s="360"/>
      <c r="D382" s="360"/>
      <c r="E382" s="360"/>
      <c r="F382" s="342">
        <v>12998</v>
      </c>
      <c r="G382" s="340">
        <v>15318</v>
      </c>
      <c r="H382" s="205">
        <v>8105</v>
      </c>
      <c r="I382" s="226">
        <v>15318</v>
      </c>
      <c r="J382" s="226">
        <f>SUM('Budget Req-Park'!E13)</f>
        <v>17275.850674099998</v>
      </c>
      <c r="K382" s="226">
        <v>25567</v>
      </c>
      <c r="L382" s="226">
        <v>5579.66</v>
      </c>
      <c r="M382" s="204">
        <f t="shared" si="80"/>
        <v>8369.49</v>
      </c>
      <c r="N382" s="204">
        <v>33364</v>
      </c>
      <c r="R382" s="249"/>
    </row>
    <row r="383" spans="1:18" x14ac:dyDescent="0.25">
      <c r="A383" s="315">
        <v>510.06</v>
      </c>
      <c r="B383" s="316" t="s">
        <v>17</v>
      </c>
      <c r="C383" s="326">
        <v>7500</v>
      </c>
      <c r="D383" s="327">
        <v>5115</v>
      </c>
      <c r="E383" s="327">
        <v>7680</v>
      </c>
      <c r="F383" s="327">
        <v>4584.8</v>
      </c>
      <c r="G383" s="340">
        <v>7110</v>
      </c>
      <c r="H383" s="340">
        <v>5407</v>
      </c>
      <c r="I383" s="226">
        <f>+I380*0.08</f>
        <v>8143.12</v>
      </c>
      <c r="J383" s="226">
        <f>SUM('Budget Req-Park'!E14)</f>
        <v>9831.3740909999997</v>
      </c>
      <c r="K383" s="226">
        <v>9595</v>
      </c>
      <c r="L383" s="226">
        <v>2951.42</v>
      </c>
      <c r="M383" s="204">
        <f t="shared" si="80"/>
        <v>4427.13</v>
      </c>
      <c r="N383" s="204">
        <f>128515*0.0765</f>
        <v>9831.3974999999991</v>
      </c>
      <c r="R383" s="249"/>
    </row>
    <row r="384" spans="1:18" x14ac:dyDescent="0.25">
      <c r="A384" s="315">
        <v>510.07</v>
      </c>
      <c r="B384" s="316" t="s">
        <v>130</v>
      </c>
      <c r="C384" s="326">
        <v>2000</v>
      </c>
      <c r="D384" s="327">
        <v>964</v>
      </c>
      <c r="E384" s="327">
        <v>1450</v>
      </c>
      <c r="F384" s="327">
        <v>2547.11</v>
      </c>
      <c r="G384" s="340">
        <v>3967</v>
      </c>
      <c r="H384" s="340">
        <v>2068</v>
      </c>
      <c r="I384" s="226">
        <f>+I380*0.0502</f>
        <v>5109.8078000000005</v>
      </c>
      <c r="J384" s="226">
        <f>SUM('Budget Req-Park'!E15)</f>
        <v>5963.0818015999994</v>
      </c>
      <c r="K384" s="226">
        <v>5817</v>
      </c>
      <c r="L384" s="226">
        <v>0</v>
      </c>
      <c r="M384" s="204">
        <f t="shared" si="80"/>
        <v>0</v>
      </c>
      <c r="N384" s="204">
        <f>128515*0.0464</f>
        <v>5963.0959999999995</v>
      </c>
      <c r="R384" s="249"/>
    </row>
    <row r="385" spans="1:18" x14ac:dyDescent="0.25">
      <c r="A385" s="315">
        <v>510.08</v>
      </c>
      <c r="B385" s="316" t="s">
        <v>278</v>
      </c>
      <c r="C385" s="326"/>
      <c r="D385" s="327"/>
      <c r="E385" s="327"/>
      <c r="F385" s="327">
        <v>1498</v>
      </c>
      <c r="G385" s="340">
        <v>1939</v>
      </c>
      <c r="H385" s="205">
        <v>922</v>
      </c>
      <c r="I385" s="226">
        <v>1800</v>
      </c>
      <c r="J385" s="226">
        <f>SUM('Budget Req-Park'!E16)</f>
        <v>3348.9644109459996</v>
      </c>
      <c r="K385" s="226">
        <v>3173</v>
      </c>
      <c r="L385" s="226">
        <v>0</v>
      </c>
      <c r="M385" s="204">
        <f t="shared" si="80"/>
        <v>0</v>
      </c>
      <c r="N385" s="204">
        <v>3173</v>
      </c>
      <c r="R385" s="249"/>
    </row>
    <row r="386" spans="1:18" x14ac:dyDescent="0.25">
      <c r="A386" s="315">
        <v>510.11</v>
      </c>
      <c r="B386" s="316" t="s">
        <v>780</v>
      </c>
      <c r="C386" s="326">
        <v>1000</v>
      </c>
      <c r="D386" s="327">
        <v>0</v>
      </c>
      <c r="E386" s="327">
        <v>0</v>
      </c>
      <c r="F386" s="327">
        <v>5000</v>
      </c>
      <c r="G386" s="377">
        <v>0</v>
      </c>
      <c r="H386" s="340">
        <v>200</v>
      </c>
      <c r="I386" s="226">
        <v>200</v>
      </c>
      <c r="J386" s="226">
        <v>0</v>
      </c>
      <c r="K386" s="226">
        <v>0</v>
      </c>
      <c r="L386" s="226">
        <v>0</v>
      </c>
      <c r="M386" s="204">
        <f t="shared" si="80"/>
        <v>0</v>
      </c>
      <c r="N386" s="204">
        <v>800</v>
      </c>
      <c r="R386" s="249"/>
    </row>
    <row r="387" spans="1:18" x14ac:dyDescent="0.25">
      <c r="A387" s="315">
        <v>510.12</v>
      </c>
      <c r="B387" s="316" t="s">
        <v>429</v>
      </c>
      <c r="C387" s="326"/>
      <c r="D387" s="327"/>
      <c r="E387" s="327"/>
      <c r="F387" s="327">
        <v>0</v>
      </c>
      <c r="G387" s="340">
        <v>4500</v>
      </c>
      <c r="H387" s="340">
        <v>0</v>
      </c>
      <c r="I387" s="226">
        <v>4500</v>
      </c>
      <c r="J387" s="226">
        <f>SUM('Budget Req-Park'!E18)</f>
        <v>4500</v>
      </c>
      <c r="K387" s="226">
        <v>1800</v>
      </c>
      <c r="L387" s="226">
        <v>1650</v>
      </c>
      <c r="M387" s="204">
        <f t="shared" si="80"/>
        <v>2475</v>
      </c>
      <c r="N387" s="204">
        <v>2250</v>
      </c>
      <c r="R387" s="249"/>
    </row>
    <row r="388" spans="1:18" s="86" customFormat="1" x14ac:dyDescent="0.25">
      <c r="A388" s="423" t="s">
        <v>178</v>
      </c>
      <c r="B388" s="424"/>
      <c r="C388" s="158"/>
      <c r="D388" s="167"/>
      <c r="E388" s="167"/>
      <c r="F388" s="167">
        <f t="shared" ref="F388:N388" si="81">SUM(F380:F387)</f>
        <v>86559.91</v>
      </c>
      <c r="G388" s="309">
        <f t="shared" si="81"/>
        <v>125777</v>
      </c>
      <c r="H388" s="309">
        <f t="shared" si="81"/>
        <v>88091</v>
      </c>
      <c r="I388" s="309">
        <f t="shared" si="81"/>
        <v>136859.9278</v>
      </c>
      <c r="J388" s="309">
        <f t="shared" si="81"/>
        <v>172004.258857646</v>
      </c>
      <c r="K388" s="309">
        <f t="shared" si="81"/>
        <v>171371</v>
      </c>
      <c r="L388" s="309">
        <f t="shared" si="81"/>
        <v>97088.61</v>
      </c>
      <c r="M388" s="136">
        <f t="shared" si="81"/>
        <v>145632.91500000001</v>
      </c>
      <c r="N388" s="136">
        <f t="shared" si="81"/>
        <v>183896.49349999998</v>
      </c>
      <c r="R388" s="93"/>
    </row>
    <row r="389" spans="1:18" x14ac:dyDescent="0.25">
      <c r="A389" s="315">
        <v>520.01</v>
      </c>
      <c r="B389" s="316" t="s">
        <v>133</v>
      </c>
      <c r="C389" s="326"/>
      <c r="D389" s="327"/>
      <c r="E389" s="327"/>
      <c r="F389" s="327"/>
      <c r="G389" s="340">
        <v>50</v>
      </c>
      <c r="H389" s="340">
        <v>0</v>
      </c>
      <c r="I389" s="226">
        <v>50</v>
      </c>
      <c r="J389" s="226">
        <v>50</v>
      </c>
      <c r="K389" s="226">
        <v>50</v>
      </c>
      <c r="L389" s="226">
        <v>0</v>
      </c>
      <c r="M389" s="204">
        <f t="shared" si="80"/>
        <v>0</v>
      </c>
      <c r="N389" s="204">
        <v>50</v>
      </c>
      <c r="R389" s="249"/>
    </row>
    <row r="390" spans="1:18" x14ac:dyDescent="0.25">
      <c r="A390" s="315">
        <v>520.03</v>
      </c>
      <c r="B390" s="316" t="s">
        <v>672</v>
      </c>
      <c r="C390" s="326"/>
      <c r="D390" s="327"/>
      <c r="E390" s="327"/>
      <c r="F390" s="327"/>
      <c r="G390" s="340">
        <v>0</v>
      </c>
      <c r="H390" s="340">
        <v>45</v>
      </c>
      <c r="I390" s="226">
        <v>100</v>
      </c>
      <c r="J390" s="226">
        <v>100</v>
      </c>
      <c r="K390" s="226">
        <v>100</v>
      </c>
      <c r="L390" s="226">
        <v>90</v>
      </c>
      <c r="M390" s="204">
        <f t="shared" si="80"/>
        <v>135</v>
      </c>
      <c r="N390" s="204">
        <v>200</v>
      </c>
    </row>
    <row r="391" spans="1:18" x14ac:dyDescent="0.25">
      <c r="A391" s="315">
        <v>520.04</v>
      </c>
      <c r="B391" s="316" t="s">
        <v>167</v>
      </c>
      <c r="C391" s="326">
        <v>500</v>
      </c>
      <c r="D391" s="327">
        <v>348</v>
      </c>
      <c r="E391" s="327">
        <v>522</v>
      </c>
      <c r="F391" s="327">
        <v>1950</v>
      </c>
      <c r="G391" s="340">
        <v>2100</v>
      </c>
      <c r="H391" s="226">
        <v>1470</v>
      </c>
      <c r="I391" s="226">
        <f>+H391+800</f>
        <v>2270</v>
      </c>
      <c r="J391" s="226">
        <v>2270</v>
      </c>
      <c r="K391" s="226">
        <v>2850</v>
      </c>
      <c r="L391" s="226">
        <v>2400.69</v>
      </c>
      <c r="M391" s="204">
        <f t="shared" si="80"/>
        <v>3601.0349999999999</v>
      </c>
      <c r="N391" s="204">
        <v>3500</v>
      </c>
    </row>
    <row r="392" spans="1:18" x14ac:dyDescent="0.25">
      <c r="A392" s="315">
        <v>520.05999999999995</v>
      </c>
      <c r="B392" s="316" t="s">
        <v>199</v>
      </c>
      <c r="C392" s="326">
        <v>6000</v>
      </c>
      <c r="D392" s="327">
        <v>5027</v>
      </c>
      <c r="E392" s="327">
        <v>7540</v>
      </c>
      <c r="F392" s="327">
        <v>3100</v>
      </c>
      <c r="G392" s="340">
        <v>1900</v>
      </c>
      <c r="H392" s="340">
        <v>1487</v>
      </c>
      <c r="I392" s="226">
        <v>2250</v>
      </c>
      <c r="J392" s="226">
        <v>2250</v>
      </c>
      <c r="K392" s="226">
        <v>2250</v>
      </c>
      <c r="L392" s="226">
        <v>1939.9</v>
      </c>
      <c r="M392" s="204">
        <f t="shared" si="80"/>
        <v>2909.8500000000004</v>
      </c>
      <c r="N392" s="204">
        <v>3000</v>
      </c>
    </row>
    <row r="393" spans="1:18" x14ac:dyDescent="0.25">
      <c r="A393" s="315">
        <v>520.07000000000005</v>
      </c>
      <c r="B393" s="316" t="s">
        <v>179</v>
      </c>
      <c r="C393" s="326">
        <v>500</v>
      </c>
      <c r="D393" s="327">
        <v>1034</v>
      </c>
      <c r="E393" s="327">
        <v>1550</v>
      </c>
      <c r="F393" s="327">
        <v>600</v>
      </c>
      <c r="G393" s="340">
        <v>650</v>
      </c>
      <c r="H393" s="340">
        <v>990</v>
      </c>
      <c r="I393" s="226">
        <v>1000</v>
      </c>
      <c r="J393" s="226">
        <v>1000</v>
      </c>
      <c r="K393" s="226">
        <v>1000</v>
      </c>
      <c r="L393" s="226">
        <v>1159.57</v>
      </c>
      <c r="M393" s="204">
        <f t="shared" si="80"/>
        <v>1739.355</v>
      </c>
      <c r="N393" s="204">
        <v>1500</v>
      </c>
    </row>
    <row r="394" spans="1:18" x14ac:dyDescent="0.25">
      <c r="A394" s="315">
        <v>520.08000000000004</v>
      </c>
      <c r="B394" s="316" t="s">
        <v>170</v>
      </c>
      <c r="C394" s="326">
        <v>4000</v>
      </c>
      <c r="D394" s="327">
        <v>1665</v>
      </c>
      <c r="E394" s="327">
        <v>2500</v>
      </c>
      <c r="F394" s="327">
        <v>400</v>
      </c>
      <c r="G394" s="340">
        <v>800</v>
      </c>
      <c r="H394" s="340">
        <v>0</v>
      </c>
      <c r="I394" s="226">
        <v>500</v>
      </c>
      <c r="J394" s="226">
        <v>500</v>
      </c>
      <c r="K394" s="226">
        <v>500</v>
      </c>
      <c r="L394" s="226">
        <v>0</v>
      </c>
      <c r="M394" s="204">
        <f t="shared" si="80"/>
        <v>0</v>
      </c>
      <c r="N394" s="204">
        <v>500</v>
      </c>
    </row>
    <row r="395" spans="1:18" x14ac:dyDescent="0.25">
      <c r="A395" s="315">
        <v>520.09</v>
      </c>
      <c r="B395" s="316" t="s">
        <v>180</v>
      </c>
      <c r="C395" s="326">
        <v>5000</v>
      </c>
      <c r="D395" s="327">
        <v>9743</v>
      </c>
      <c r="E395" s="327">
        <v>14691</v>
      </c>
      <c r="F395" s="327">
        <v>2000</v>
      </c>
      <c r="G395" s="340">
        <v>1400</v>
      </c>
      <c r="H395" s="340">
        <v>517</v>
      </c>
      <c r="I395" s="226">
        <v>1000</v>
      </c>
      <c r="J395" s="226">
        <f>SUM('Budget Req-Park'!E28)</f>
        <v>1300</v>
      </c>
      <c r="K395" s="226">
        <v>1300</v>
      </c>
      <c r="L395" s="226">
        <v>928.4</v>
      </c>
      <c r="M395" s="204">
        <f t="shared" si="80"/>
        <v>1392.6</v>
      </c>
      <c r="N395" s="204">
        <v>2000</v>
      </c>
    </row>
    <row r="396" spans="1:18" x14ac:dyDescent="0.25">
      <c r="A396" s="315">
        <v>520.1</v>
      </c>
      <c r="B396" s="316" t="s">
        <v>673</v>
      </c>
      <c r="C396" s="326">
        <v>5000</v>
      </c>
      <c r="D396" s="327">
        <v>4819</v>
      </c>
      <c r="E396" s="327">
        <v>7230</v>
      </c>
      <c r="F396" s="327">
        <v>500</v>
      </c>
      <c r="G396" s="340">
        <v>2000</v>
      </c>
      <c r="H396" s="340">
        <v>1904</v>
      </c>
      <c r="I396" s="226">
        <v>2000</v>
      </c>
      <c r="J396" s="226">
        <v>2000</v>
      </c>
      <c r="K396" s="226">
        <v>2000</v>
      </c>
      <c r="L396" s="226">
        <v>2579.7199999999998</v>
      </c>
      <c r="M396" s="204">
        <f t="shared" si="80"/>
        <v>3869.58</v>
      </c>
      <c r="N396" s="204">
        <v>3000</v>
      </c>
    </row>
    <row r="397" spans="1:18" s="254" customFormat="1" x14ac:dyDescent="0.25">
      <c r="A397" s="315">
        <v>520.11</v>
      </c>
      <c r="B397" s="316" t="s">
        <v>19</v>
      </c>
      <c r="C397" s="326">
        <v>4000</v>
      </c>
      <c r="D397" s="326">
        <v>1254</v>
      </c>
      <c r="E397" s="326">
        <v>2000</v>
      </c>
      <c r="F397" s="327">
        <v>800</v>
      </c>
      <c r="G397" s="340">
        <v>1000</v>
      </c>
      <c r="H397" s="340">
        <v>1621</v>
      </c>
      <c r="I397" s="226">
        <v>1700</v>
      </c>
      <c r="J397" s="226">
        <f>SUM('Budget Req-Park'!E30)</f>
        <v>1000</v>
      </c>
      <c r="K397" s="226">
        <v>1000</v>
      </c>
      <c r="L397" s="226">
        <v>1511.56</v>
      </c>
      <c r="M397" s="204">
        <f t="shared" si="80"/>
        <v>2267.34</v>
      </c>
      <c r="N397" s="204">
        <v>1000</v>
      </c>
    </row>
    <row r="398" spans="1:18" s="86" customFormat="1" x14ac:dyDescent="0.25">
      <c r="A398" s="423" t="s">
        <v>545</v>
      </c>
      <c r="B398" s="424"/>
      <c r="C398" s="158"/>
      <c r="D398" s="158"/>
      <c r="E398" s="158"/>
      <c r="F398" s="167">
        <f>SUM(F391:F397)</f>
        <v>9350</v>
      </c>
      <c r="G398" s="309">
        <f t="shared" ref="G398:N398" si="82">SUM(G389:G397)</f>
        <v>9900</v>
      </c>
      <c r="H398" s="309">
        <f t="shared" si="82"/>
        <v>8034</v>
      </c>
      <c r="I398" s="309">
        <f t="shared" si="82"/>
        <v>10870</v>
      </c>
      <c r="J398" s="309">
        <f t="shared" si="82"/>
        <v>10470</v>
      </c>
      <c r="K398" s="309">
        <f t="shared" si="82"/>
        <v>11050</v>
      </c>
      <c r="L398" s="309">
        <f t="shared" si="82"/>
        <v>10609.839999999998</v>
      </c>
      <c r="M398" s="136">
        <f t="shared" si="82"/>
        <v>15914.76</v>
      </c>
      <c r="N398" s="136">
        <f t="shared" si="82"/>
        <v>14750</v>
      </c>
    </row>
    <row r="399" spans="1:18" s="86" customFormat="1" x14ac:dyDescent="0.25">
      <c r="A399" s="315">
        <v>530.01</v>
      </c>
      <c r="B399" s="316" t="s">
        <v>171</v>
      </c>
      <c r="C399" s="326">
        <v>2000</v>
      </c>
      <c r="D399" s="327">
        <v>250</v>
      </c>
      <c r="E399" s="327">
        <v>250</v>
      </c>
      <c r="F399" s="327">
        <v>800</v>
      </c>
      <c r="G399" s="226">
        <v>1080</v>
      </c>
      <c r="H399" s="340">
        <v>635</v>
      </c>
      <c r="I399" s="226">
        <v>1200</v>
      </c>
      <c r="J399" s="226">
        <v>1300</v>
      </c>
      <c r="K399" s="226">
        <v>1300</v>
      </c>
      <c r="L399" s="226">
        <v>443.37</v>
      </c>
      <c r="M399" s="204">
        <f t="shared" si="80"/>
        <v>665.05500000000006</v>
      </c>
      <c r="N399" s="204">
        <v>1000</v>
      </c>
    </row>
    <row r="400" spans="1:18" x14ac:dyDescent="0.25">
      <c r="A400" s="315">
        <v>530.02</v>
      </c>
      <c r="B400" s="316" t="s">
        <v>205</v>
      </c>
      <c r="C400" s="326">
        <v>4000</v>
      </c>
      <c r="D400" s="327">
        <v>942</v>
      </c>
      <c r="E400" s="327">
        <v>1410</v>
      </c>
      <c r="F400" s="327">
        <v>250</v>
      </c>
      <c r="G400" s="226">
        <v>50</v>
      </c>
      <c r="H400" s="340">
        <v>0</v>
      </c>
      <c r="I400" s="226">
        <v>50</v>
      </c>
      <c r="J400" s="226">
        <v>50</v>
      </c>
      <c r="K400" s="226">
        <v>50</v>
      </c>
      <c r="L400" s="226">
        <v>40.14</v>
      </c>
      <c r="M400" s="204">
        <f t="shared" si="80"/>
        <v>60.21</v>
      </c>
      <c r="N400" s="204">
        <v>300</v>
      </c>
    </row>
    <row r="401" spans="1:14" x14ac:dyDescent="0.25">
      <c r="A401" s="257">
        <v>530.09</v>
      </c>
      <c r="B401" s="203" t="s">
        <v>223</v>
      </c>
      <c r="C401" s="349">
        <v>500</v>
      </c>
      <c r="D401" s="344">
        <v>0</v>
      </c>
      <c r="E401" s="344">
        <v>0</v>
      </c>
      <c r="F401" s="344">
        <v>100</v>
      </c>
      <c r="G401" s="204">
        <v>600</v>
      </c>
      <c r="H401" s="256">
        <v>140</v>
      </c>
      <c r="I401" s="204">
        <v>400</v>
      </c>
      <c r="J401" s="204">
        <v>400</v>
      </c>
      <c r="K401" s="204">
        <v>400</v>
      </c>
      <c r="L401" s="204">
        <v>140</v>
      </c>
      <c r="M401" s="204">
        <f t="shared" si="80"/>
        <v>210</v>
      </c>
      <c r="N401" s="204">
        <v>1000</v>
      </c>
    </row>
    <row r="402" spans="1:14" x14ac:dyDescent="0.25">
      <c r="A402" s="257">
        <v>530.11</v>
      </c>
      <c r="B402" s="203" t="s">
        <v>2</v>
      </c>
      <c r="C402" s="349">
        <v>400</v>
      </c>
      <c r="D402" s="344">
        <v>0</v>
      </c>
      <c r="E402" s="344">
        <v>0</v>
      </c>
      <c r="F402" s="344">
        <v>11250</v>
      </c>
      <c r="G402" s="204">
        <v>16500</v>
      </c>
      <c r="H402" s="256">
        <v>10355</v>
      </c>
      <c r="I402" s="204">
        <v>18000</v>
      </c>
      <c r="J402" s="204">
        <v>18000</v>
      </c>
      <c r="K402" s="204">
        <v>18000</v>
      </c>
      <c r="L402" s="204">
        <v>11649.7</v>
      </c>
      <c r="M402" s="204">
        <f t="shared" si="80"/>
        <v>17474.550000000003</v>
      </c>
      <c r="N402" s="204">
        <v>18000</v>
      </c>
    </row>
    <row r="403" spans="1:14" s="86" customFormat="1" x14ac:dyDescent="0.25">
      <c r="A403" s="435" t="s">
        <v>138</v>
      </c>
      <c r="B403" s="436"/>
      <c r="C403" s="437"/>
      <c r="D403" s="346"/>
      <c r="E403" s="346"/>
      <c r="F403" s="346">
        <f t="shared" ref="F403:N403" si="83">SUM(F399:F402)</f>
        <v>12400</v>
      </c>
      <c r="G403" s="136">
        <f t="shared" si="83"/>
        <v>18230</v>
      </c>
      <c r="H403" s="136">
        <f t="shared" si="83"/>
        <v>11130</v>
      </c>
      <c r="I403" s="136">
        <f t="shared" si="83"/>
        <v>19650</v>
      </c>
      <c r="J403" s="136">
        <f t="shared" si="83"/>
        <v>19750</v>
      </c>
      <c r="K403" s="288">
        <f t="shared" si="83"/>
        <v>19750</v>
      </c>
      <c r="L403" s="288">
        <f t="shared" si="83"/>
        <v>12273.210000000001</v>
      </c>
      <c r="M403" s="136">
        <f t="shared" si="83"/>
        <v>18409.815000000002</v>
      </c>
      <c r="N403" s="288">
        <f t="shared" si="83"/>
        <v>20300</v>
      </c>
    </row>
    <row r="404" spans="1:14" s="242" customFormat="1" x14ac:dyDescent="0.25">
      <c r="A404" s="353">
        <v>540.01</v>
      </c>
      <c r="B404" s="203" t="s">
        <v>287</v>
      </c>
      <c r="C404" s="349">
        <v>3000</v>
      </c>
      <c r="D404" s="344">
        <v>1868</v>
      </c>
      <c r="E404" s="344">
        <v>2800</v>
      </c>
      <c r="F404" s="344">
        <v>2500</v>
      </c>
      <c r="G404" s="256">
        <v>1500</v>
      </c>
      <c r="H404" s="256">
        <v>1492</v>
      </c>
      <c r="I404" s="204">
        <v>1500</v>
      </c>
      <c r="J404" s="340">
        <v>1500</v>
      </c>
      <c r="K404" s="226">
        <v>1500</v>
      </c>
      <c r="L404" s="226">
        <v>476.54</v>
      </c>
      <c r="M404" s="204">
        <f t="shared" si="80"/>
        <v>714.81000000000006</v>
      </c>
      <c r="N404" s="226">
        <v>1000</v>
      </c>
    </row>
    <row r="405" spans="1:14" s="487" customFormat="1" x14ac:dyDescent="0.25">
      <c r="A405" s="412" t="s">
        <v>224</v>
      </c>
      <c r="B405" s="413"/>
      <c r="C405" s="113"/>
      <c r="D405" s="101"/>
      <c r="E405" s="101"/>
      <c r="F405" s="101">
        <f t="shared" ref="F405:M405" si="84">SUM(F404:F404)</f>
        <v>2500</v>
      </c>
      <c r="G405" s="314">
        <f t="shared" si="84"/>
        <v>1500</v>
      </c>
      <c r="H405" s="314">
        <f t="shared" si="84"/>
        <v>1492</v>
      </c>
      <c r="I405" s="314">
        <f t="shared" si="84"/>
        <v>1500</v>
      </c>
      <c r="J405" s="314">
        <f t="shared" si="84"/>
        <v>1500</v>
      </c>
      <c r="K405" s="314">
        <f t="shared" si="84"/>
        <v>1500</v>
      </c>
      <c r="L405" s="417">
        <f t="shared" si="84"/>
        <v>476.54</v>
      </c>
      <c r="M405" s="288">
        <f t="shared" si="84"/>
        <v>714.81000000000006</v>
      </c>
      <c r="N405" s="136">
        <f>SUM(N404)</f>
        <v>1000</v>
      </c>
    </row>
    <row r="406" spans="1:14" x14ac:dyDescent="0.25">
      <c r="A406" s="257">
        <v>550.03</v>
      </c>
      <c r="B406" s="203" t="s">
        <v>208</v>
      </c>
      <c r="C406" s="349">
        <v>3000</v>
      </c>
      <c r="D406" s="349">
        <v>0</v>
      </c>
      <c r="E406" s="349">
        <v>0</v>
      </c>
      <c r="F406" s="344">
        <v>400</v>
      </c>
      <c r="G406" s="204">
        <v>1300</v>
      </c>
      <c r="H406" s="204">
        <v>1847</v>
      </c>
      <c r="I406" s="204">
        <v>2000</v>
      </c>
      <c r="J406" s="204">
        <v>2000</v>
      </c>
      <c r="K406" s="204">
        <v>2000</v>
      </c>
      <c r="L406" s="204">
        <v>995.92</v>
      </c>
      <c r="M406" s="204">
        <f t="shared" si="80"/>
        <v>1493.8799999999999</v>
      </c>
      <c r="N406" s="204">
        <v>2000</v>
      </c>
    </row>
    <row r="407" spans="1:14" x14ac:dyDescent="0.25">
      <c r="A407" s="257">
        <v>550.04</v>
      </c>
      <c r="B407" s="203" t="s">
        <v>175</v>
      </c>
      <c r="C407" s="378">
        <v>0</v>
      </c>
      <c r="D407" s="378">
        <v>0</v>
      </c>
      <c r="E407" s="378">
        <v>0</v>
      </c>
      <c r="F407" s="344">
        <v>1000</v>
      </c>
      <c r="G407" s="204">
        <v>500</v>
      </c>
      <c r="H407" s="204">
        <v>867</v>
      </c>
      <c r="I407" s="204">
        <v>1000</v>
      </c>
      <c r="J407" s="204">
        <v>1500</v>
      </c>
      <c r="K407" s="204">
        <v>1500</v>
      </c>
      <c r="L407" s="204">
        <v>280.12</v>
      </c>
      <c r="M407" s="204">
        <f t="shared" si="80"/>
        <v>420.18</v>
      </c>
      <c r="N407" s="204">
        <v>1000</v>
      </c>
    </row>
    <row r="408" spans="1:14" x14ac:dyDescent="0.25">
      <c r="A408" s="257">
        <v>550.09</v>
      </c>
      <c r="B408" s="203" t="s">
        <v>674</v>
      </c>
      <c r="C408" s="378"/>
      <c r="D408" s="378"/>
      <c r="E408" s="378"/>
      <c r="F408" s="344"/>
      <c r="G408" s="204">
        <v>400</v>
      </c>
      <c r="H408" s="204">
        <v>29</v>
      </c>
      <c r="I408" s="204">
        <v>200</v>
      </c>
      <c r="J408" s="204">
        <v>200</v>
      </c>
      <c r="K408" s="204">
        <v>200</v>
      </c>
      <c r="L408" s="204">
        <v>157.85</v>
      </c>
      <c r="M408" s="204">
        <f t="shared" si="80"/>
        <v>236.77499999999998</v>
      </c>
      <c r="N408" s="204">
        <v>200</v>
      </c>
    </row>
    <row r="409" spans="1:14" s="86" customFormat="1" x14ac:dyDescent="0.25">
      <c r="A409" s="300" t="s">
        <v>172</v>
      </c>
      <c r="B409" s="432"/>
      <c r="C409" s="489"/>
      <c r="D409" s="489"/>
      <c r="E409" s="489"/>
      <c r="F409" s="101">
        <f>SUM(F406:F407)</f>
        <v>1400</v>
      </c>
      <c r="G409" s="314">
        <f t="shared" ref="G409:L409" si="85">SUM(G406:G408)</f>
        <v>2200</v>
      </c>
      <c r="H409" s="314">
        <f t="shared" si="85"/>
        <v>2743</v>
      </c>
      <c r="I409" s="314">
        <f t="shared" si="85"/>
        <v>3200</v>
      </c>
      <c r="J409" s="314">
        <f t="shared" si="85"/>
        <v>3700</v>
      </c>
      <c r="K409" s="314">
        <f t="shared" si="85"/>
        <v>3700</v>
      </c>
      <c r="L409" s="417">
        <f t="shared" si="85"/>
        <v>1433.8899999999999</v>
      </c>
      <c r="M409" s="136">
        <f t="shared" si="80"/>
        <v>2150.835</v>
      </c>
      <c r="N409" s="288">
        <f>SUM(N406:N408)</f>
        <v>3200</v>
      </c>
    </row>
    <row r="410" spans="1:14" s="242" customFormat="1" x14ac:dyDescent="0.25">
      <c r="A410" s="257">
        <v>560.09</v>
      </c>
      <c r="B410" s="203" t="s">
        <v>408</v>
      </c>
      <c r="C410" s="378"/>
      <c r="D410" s="378"/>
      <c r="E410" s="378"/>
      <c r="F410" s="344"/>
      <c r="G410" s="204">
        <v>100</v>
      </c>
      <c r="H410" s="204">
        <v>125</v>
      </c>
      <c r="I410" s="204">
        <v>125</v>
      </c>
      <c r="J410" s="204">
        <v>125</v>
      </c>
      <c r="K410" s="204">
        <v>280</v>
      </c>
      <c r="L410" s="204">
        <v>0</v>
      </c>
      <c r="M410" s="204">
        <f t="shared" si="80"/>
        <v>0</v>
      </c>
      <c r="N410" s="204">
        <v>280</v>
      </c>
    </row>
    <row r="411" spans="1:14" x14ac:dyDescent="0.25">
      <c r="A411" s="257">
        <v>560.1</v>
      </c>
      <c r="B411" s="203" t="s">
        <v>185</v>
      </c>
      <c r="C411" s="378"/>
      <c r="D411" s="378"/>
      <c r="E411" s="378"/>
      <c r="F411" s="344">
        <v>200</v>
      </c>
      <c r="G411" s="204">
        <v>100</v>
      </c>
      <c r="H411" s="204">
        <v>0</v>
      </c>
      <c r="I411" s="204">
        <v>100</v>
      </c>
      <c r="J411" s="204">
        <v>100</v>
      </c>
      <c r="K411" s="204">
        <v>100</v>
      </c>
      <c r="L411" s="204">
        <v>0</v>
      </c>
      <c r="M411" s="204">
        <f t="shared" si="80"/>
        <v>0</v>
      </c>
      <c r="N411" s="204">
        <v>500</v>
      </c>
    </row>
    <row r="412" spans="1:14" s="86" customFormat="1" ht="15.75" customHeight="1" x14ac:dyDescent="0.25">
      <c r="A412" s="431" t="s">
        <v>149</v>
      </c>
      <c r="B412" s="432"/>
      <c r="C412" s="489"/>
      <c r="D412" s="489"/>
      <c r="E412" s="489"/>
      <c r="F412" s="101">
        <f>SUM(F411)</f>
        <v>200</v>
      </c>
      <c r="G412" s="314">
        <f t="shared" ref="G412:L412" si="86">SUM(G410:G411)</f>
        <v>200</v>
      </c>
      <c r="H412" s="314">
        <f t="shared" si="86"/>
        <v>125</v>
      </c>
      <c r="I412" s="314">
        <f t="shared" si="86"/>
        <v>225</v>
      </c>
      <c r="J412" s="314">
        <f t="shared" si="86"/>
        <v>225</v>
      </c>
      <c r="K412" s="314">
        <f t="shared" si="86"/>
        <v>380</v>
      </c>
      <c r="L412" s="417">
        <f t="shared" si="86"/>
        <v>0</v>
      </c>
      <c r="M412" s="136">
        <f t="shared" si="80"/>
        <v>0</v>
      </c>
      <c r="N412" s="136">
        <f>SUM(N410:N411)</f>
        <v>780</v>
      </c>
    </row>
    <row r="413" spans="1:14" x14ac:dyDescent="0.25">
      <c r="A413" s="257">
        <v>580.01</v>
      </c>
      <c r="B413" s="203" t="s">
        <v>153</v>
      </c>
      <c r="C413" s="378"/>
      <c r="D413" s="378"/>
      <c r="E413" s="378"/>
      <c r="F413" s="344"/>
      <c r="G413" s="204">
        <v>0</v>
      </c>
      <c r="H413" s="204">
        <v>0</v>
      </c>
      <c r="I413" s="204">
        <v>0</v>
      </c>
      <c r="J413" s="204">
        <f>SUM('Budget Req-Park'!E46)</f>
        <v>8000</v>
      </c>
      <c r="K413" s="204">
        <v>8000</v>
      </c>
      <c r="L413" s="204">
        <v>3402.2</v>
      </c>
      <c r="M413" s="204">
        <f t="shared" si="80"/>
        <v>5103.2999999999993</v>
      </c>
      <c r="N413" s="204">
        <v>8000</v>
      </c>
    </row>
    <row r="414" spans="1:14" s="86" customFormat="1" ht="18.75" thickBot="1" x14ac:dyDescent="0.3">
      <c r="A414" s="431" t="s">
        <v>225</v>
      </c>
      <c r="B414" s="432"/>
      <c r="C414" s="489"/>
      <c r="D414" s="115"/>
      <c r="E414" s="115"/>
      <c r="F414" s="95" t="e">
        <f>SUM(#REF!)</f>
        <v>#REF!</v>
      </c>
      <c r="G414" s="314">
        <f t="shared" ref="G414:L414" si="87">SUM(G413:G413)</f>
        <v>0</v>
      </c>
      <c r="H414" s="314">
        <f t="shared" si="87"/>
        <v>0</v>
      </c>
      <c r="I414" s="314">
        <f t="shared" si="87"/>
        <v>0</v>
      </c>
      <c r="J414" s="314">
        <f t="shared" si="87"/>
        <v>8000</v>
      </c>
      <c r="K414" s="314">
        <f t="shared" si="87"/>
        <v>8000</v>
      </c>
      <c r="L414" s="314">
        <f t="shared" si="87"/>
        <v>3402.2</v>
      </c>
      <c r="M414" s="136">
        <f t="shared" si="80"/>
        <v>5103.2999999999993</v>
      </c>
      <c r="N414" s="136">
        <f>SUM(N413)</f>
        <v>8000</v>
      </c>
    </row>
    <row r="415" spans="1:14" ht="18.75" thickBot="1" x14ac:dyDescent="0.3">
      <c r="A415" s="592" t="s">
        <v>8</v>
      </c>
      <c r="B415" s="593"/>
      <c r="C415" s="149">
        <f>SUM(C383:C407)</f>
        <v>48400</v>
      </c>
      <c r="D415" s="154">
        <f>SUM(D383:D407)</f>
        <v>33029</v>
      </c>
      <c r="E415" s="154">
        <f>SUM(E383:E407)</f>
        <v>49623</v>
      </c>
      <c r="F415" s="150" t="e">
        <f>SUM(F388+F398+F403+F405+F409+F412+F414+#REF!)</f>
        <v>#REF!</v>
      </c>
      <c r="G415" s="151" t="e">
        <f>SUM(G388+G398+G403+G405+G409+G412+G414+#REF!)</f>
        <v>#REF!</v>
      </c>
      <c r="H415" s="151" t="e">
        <f>SUM(H388+H398+H403+H405+H409+H412+H414+#REF!)</f>
        <v>#REF!</v>
      </c>
      <c r="I415" s="151" t="e">
        <f>SUM(I388+I398+I403+I405+I409+I412+I414+#REF!)</f>
        <v>#REF!</v>
      </c>
      <c r="J415" s="151" t="e">
        <f>SUM(J388+J398+J403+J405+J409+J412+J414+#REF!)</f>
        <v>#REF!</v>
      </c>
      <c r="K415" s="151">
        <f>SUM(K388+K398+K403+K405+K409+K412+K414)</f>
        <v>215751</v>
      </c>
      <c r="L415" s="151">
        <f>SUM(L388+L398+L403+L405+L409+L412+L414)</f>
        <v>125284.29</v>
      </c>
      <c r="M415" s="151">
        <f>SUM(M388+M398+M403+M405+M409+M412+M414)</f>
        <v>187926.435</v>
      </c>
      <c r="N415" s="151">
        <f>SUM(N388+N398+N403+N405+N409+N412+N414)</f>
        <v>231926.49349999998</v>
      </c>
    </row>
    <row r="416" spans="1:14" s="86" customFormat="1" x14ac:dyDescent="0.25">
      <c r="A416" s="157"/>
      <c r="B416" s="157"/>
      <c r="C416" s="153"/>
      <c r="D416" s="159"/>
      <c r="E416" s="159"/>
      <c r="F416" s="160"/>
      <c r="G416" s="124"/>
      <c r="H416" s="124"/>
      <c r="I416" s="124"/>
      <c r="J416" s="43"/>
      <c r="K416" s="43"/>
      <c r="L416" s="182"/>
      <c r="M416" s="187"/>
      <c r="N416" s="116"/>
    </row>
    <row r="417" spans="1:14" s="86" customFormat="1" ht="21.75" customHeight="1" x14ac:dyDescent="0.25">
      <c r="A417" s="120" t="s">
        <v>769</v>
      </c>
      <c r="B417" s="261"/>
      <c r="C417" s="121"/>
      <c r="D417" s="217"/>
      <c r="E417" s="217"/>
      <c r="F417" s="260"/>
      <c r="G417" s="87"/>
      <c r="H417" s="88"/>
      <c r="I417" s="87" t="str">
        <f>+I2</f>
        <v xml:space="preserve"> Estimated</v>
      </c>
      <c r="J417" s="87" t="s">
        <v>778</v>
      </c>
      <c r="K417" s="87" t="s">
        <v>765</v>
      </c>
      <c r="L417" s="79"/>
      <c r="M417" s="87" t="s">
        <v>655</v>
      </c>
      <c r="N417" s="87" t="s">
        <v>802</v>
      </c>
    </row>
    <row r="418" spans="1:14" s="86" customFormat="1" ht="15.75" customHeight="1" x14ac:dyDescent="0.25">
      <c r="A418" s="366" t="s">
        <v>227</v>
      </c>
      <c r="B418" s="131"/>
      <c r="C418" s="122" t="s">
        <v>23</v>
      </c>
      <c r="D418" s="122" t="s">
        <v>26</v>
      </c>
      <c r="E418" s="122" t="s">
        <v>25</v>
      </c>
      <c r="F418" s="122" t="s">
        <v>338</v>
      </c>
      <c r="G418" s="379" t="str">
        <f>+G3</f>
        <v>Budget 2016-17</v>
      </c>
      <c r="H418" s="379" t="str">
        <f>+H3</f>
        <v>Actual 5/31/17</v>
      </c>
      <c r="I418" s="380">
        <v>43008</v>
      </c>
      <c r="J418" s="379" t="str">
        <f>+J3</f>
        <v>Budget 2017-18</v>
      </c>
      <c r="K418" s="379" t="s">
        <v>766</v>
      </c>
      <c r="L418" s="132" t="s">
        <v>779</v>
      </c>
      <c r="M418" s="380">
        <v>43373</v>
      </c>
      <c r="N418" s="379" t="s">
        <v>803</v>
      </c>
    </row>
    <row r="419" spans="1:14" s="86" customFormat="1" ht="16.5" customHeight="1" x14ac:dyDescent="0.25">
      <c r="A419" s="325" t="s">
        <v>228</v>
      </c>
      <c r="B419" s="316" t="s">
        <v>5</v>
      </c>
      <c r="C419" s="326">
        <v>16800</v>
      </c>
      <c r="D419" s="327">
        <v>10713</v>
      </c>
      <c r="E419" s="326">
        <v>16800</v>
      </c>
      <c r="F419" s="327">
        <v>22072</v>
      </c>
      <c r="G419" s="340">
        <v>34621</v>
      </c>
      <c r="H419" s="340">
        <v>24680</v>
      </c>
      <c r="I419" s="226">
        <f>+H419+(2700*4)</f>
        <v>35480</v>
      </c>
      <c r="J419" s="226">
        <f>SUM('Personnel Sched-Muni Court'!I13)*1.02</f>
        <v>41829.638999999996</v>
      </c>
      <c r="K419" s="226">
        <v>38852</v>
      </c>
      <c r="L419" s="226">
        <v>26299.37</v>
      </c>
      <c r="M419" s="204">
        <f>(L419/8)*12</f>
        <v>39449.055</v>
      </c>
      <c r="N419" s="226">
        <v>41009</v>
      </c>
    </row>
    <row r="420" spans="1:14" s="86" customFormat="1" ht="17.45" customHeight="1" x14ac:dyDescent="0.25">
      <c r="A420" s="315">
        <v>510.03</v>
      </c>
      <c r="B420" s="316" t="s">
        <v>127</v>
      </c>
      <c r="C420" s="326">
        <v>1302</v>
      </c>
      <c r="D420" s="327">
        <v>819</v>
      </c>
      <c r="E420" s="326">
        <v>1180</v>
      </c>
      <c r="F420" s="327">
        <v>20000</v>
      </c>
      <c r="G420" s="340">
        <v>26000</v>
      </c>
      <c r="H420" s="340">
        <v>11677</v>
      </c>
      <c r="I420" s="226">
        <v>25000</v>
      </c>
      <c r="J420" s="226">
        <f>SUM('Budget Req-Muni Court'!E11)</f>
        <v>21600</v>
      </c>
      <c r="K420" s="226">
        <v>20000</v>
      </c>
      <c r="L420" s="226">
        <v>11596.3</v>
      </c>
      <c r="M420" s="204">
        <f t="shared" ref="M420:M454" si="88">(L420/8)*12</f>
        <v>17394.449999999997</v>
      </c>
      <c r="N420" s="226">
        <v>20000</v>
      </c>
    </row>
    <row r="421" spans="1:14" s="86" customFormat="1" ht="16.5" customHeight="1" x14ac:dyDescent="0.25">
      <c r="A421" s="315">
        <v>510.05</v>
      </c>
      <c r="B421" s="316" t="s">
        <v>164</v>
      </c>
      <c r="C421" s="326">
        <v>900</v>
      </c>
      <c r="D421" s="327">
        <v>555</v>
      </c>
      <c r="E421" s="326">
        <v>840</v>
      </c>
      <c r="F421" s="327">
        <v>6499</v>
      </c>
      <c r="G421" s="340">
        <v>7657</v>
      </c>
      <c r="H421" s="340">
        <v>4291</v>
      </c>
      <c r="I421" s="226">
        <f>+H421+3600</f>
        <v>7891</v>
      </c>
      <c r="J421" s="226">
        <f>SUM('Budget Req-Muni Court'!E17)</f>
        <v>8518.1986675000007</v>
      </c>
      <c r="K421" s="226">
        <v>8507</v>
      </c>
      <c r="L421" s="226">
        <v>5366.78</v>
      </c>
      <c r="M421" s="204">
        <f t="shared" si="88"/>
        <v>8050.17</v>
      </c>
      <c r="N421" s="226">
        <v>11110</v>
      </c>
    </row>
    <row r="422" spans="1:14" s="86" customFormat="1" ht="17.45" customHeight="1" x14ac:dyDescent="0.25">
      <c r="A422" s="315">
        <v>510.06</v>
      </c>
      <c r="B422" s="316" t="s">
        <v>17</v>
      </c>
      <c r="C422" s="326">
        <v>4000</v>
      </c>
      <c r="D422" s="327">
        <v>2834</v>
      </c>
      <c r="E422" s="326">
        <v>4250</v>
      </c>
      <c r="F422" s="327">
        <v>1688.51</v>
      </c>
      <c r="G422" s="340">
        <v>2648</v>
      </c>
      <c r="H422" s="340">
        <v>1790</v>
      </c>
      <c r="I422" s="226">
        <f>+I419*0.08</f>
        <v>2838.4</v>
      </c>
      <c r="J422" s="226">
        <f>SUM('Budget Req-Muni Court'!E18)</f>
        <v>3137.2229249999996</v>
      </c>
      <c r="K422" s="226">
        <v>2972</v>
      </c>
      <c r="L422" s="226">
        <v>1600.34</v>
      </c>
      <c r="M422" s="204">
        <f t="shared" si="88"/>
        <v>2400.5099999999998</v>
      </c>
      <c r="N422" s="226">
        <f>N419*0.0765</f>
        <v>3137.1884999999997</v>
      </c>
    </row>
    <row r="423" spans="1:14" s="86" customFormat="1" ht="17.45" customHeight="1" x14ac:dyDescent="0.25">
      <c r="A423" s="315">
        <v>510.07</v>
      </c>
      <c r="B423" s="316" t="s">
        <v>130</v>
      </c>
      <c r="C423" s="326">
        <v>18170</v>
      </c>
      <c r="D423" s="327">
        <v>12120</v>
      </c>
      <c r="E423" s="326">
        <v>18180</v>
      </c>
      <c r="F423" s="327">
        <v>938.06</v>
      </c>
      <c r="G423" s="340">
        <v>1762</v>
      </c>
      <c r="H423" s="340">
        <v>974</v>
      </c>
      <c r="I423" s="226">
        <f>+I419*0.0502</f>
        <v>1781.096</v>
      </c>
      <c r="J423" s="226">
        <f>SUM('Budget Req-Muni Court'!E19)</f>
        <v>1902.8384799999997</v>
      </c>
      <c r="K423" s="226">
        <v>1978</v>
      </c>
      <c r="L423" s="226">
        <v>958.08</v>
      </c>
      <c r="M423" s="204">
        <f t="shared" si="88"/>
        <v>1437.1200000000001</v>
      </c>
      <c r="N423" s="226">
        <f>N419*0.0464</f>
        <v>1902.8175999999999</v>
      </c>
    </row>
    <row r="424" spans="1:14" s="259" customFormat="1" ht="17.45" customHeight="1" x14ac:dyDescent="0.25">
      <c r="A424" s="315">
        <v>510.08</v>
      </c>
      <c r="B424" s="316" t="s">
        <v>278</v>
      </c>
      <c r="C424" s="326"/>
      <c r="D424" s="327"/>
      <c r="E424" s="326"/>
      <c r="F424" s="327">
        <v>57</v>
      </c>
      <c r="G424" s="340">
        <v>91</v>
      </c>
      <c r="H424" s="340">
        <v>189</v>
      </c>
      <c r="I424" s="226">
        <v>200</v>
      </c>
      <c r="J424" s="226">
        <f>SUM('Budget Req-Muni Court'!E20)</f>
        <v>114.04728044999999</v>
      </c>
      <c r="K424" s="226">
        <v>105</v>
      </c>
      <c r="L424" s="226">
        <v>536.22</v>
      </c>
      <c r="M424" s="204">
        <f t="shared" si="88"/>
        <v>804.33</v>
      </c>
      <c r="N424" s="226">
        <v>1000</v>
      </c>
    </row>
    <row r="425" spans="1:14" s="259" customFormat="1" ht="17.45" customHeight="1" x14ac:dyDescent="0.25">
      <c r="A425" s="315">
        <v>510.11</v>
      </c>
      <c r="B425" s="316" t="s">
        <v>780</v>
      </c>
      <c r="C425" s="326">
        <v>3000</v>
      </c>
      <c r="D425" s="327">
        <v>1290</v>
      </c>
      <c r="E425" s="326">
        <v>1935</v>
      </c>
      <c r="F425" s="327">
        <v>2500</v>
      </c>
      <c r="G425" s="340">
        <v>0</v>
      </c>
      <c r="H425" s="340">
        <v>100</v>
      </c>
      <c r="I425" s="226">
        <v>100</v>
      </c>
      <c r="J425" s="226">
        <v>0</v>
      </c>
      <c r="K425" s="226">
        <v>0</v>
      </c>
      <c r="L425" s="226">
        <v>100</v>
      </c>
      <c r="M425" s="204">
        <f t="shared" si="88"/>
        <v>150</v>
      </c>
      <c r="N425" s="226">
        <v>400</v>
      </c>
    </row>
    <row r="426" spans="1:14" ht="17.45" customHeight="1" x14ac:dyDescent="0.25">
      <c r="A426" s="315">
        <v>510.12</v>
      </c>
      <c r="B426" s="316" t="s">
        <v>429</v>
      </c>
      <c r="C426" s="326"/>
      <c r="D426" s="327"/>
      <c r="E426" s="326"/>
      <c r="F426" s="327">
        <v>0</v>
      </c>
      <c r="G426" s="340">
        <v>1200</v>
      </c>
      <c r="H426" s="340">
        <v>0</v>
      </c>
      <c r="I426" s="226">
        <v>1200</v>
      </c>
      <c r="J426" s="226">
        <f>SUM('Budget Req-Muni Court'!E23)</f>
        <v>1350</v>
      </c>
      <c r="K426" s="226">
        <v>1350</v>
      </c>
      <c r="L426" s="226">
        <v>0</v>
      </c>
      <c r="M426" s="204">
        <f t="shared" si="88"/>
        <v>0</v>
      </c>
      <c r="N426" s="226">
        <v>1500</v>
      </c>
    </row>
    <row r="427" spans="1:14" s="86" customFormat="1" ht="17.45" customHeight="1" x14ac:dyDescent="0.25">
      <c r="A427" s="423" t="s">
        <v>229</v>
      </c>
      <c r="B427" s="424"/>
      <c r="C427" s="158"/>
      <c r="D427" s="167"/>
      <c r="E427" s="158"/>
      <c r="F427" s="167">
        <f t="shared" ref="F427:L427" si="89">SUM(F419:F426)</f>
        <v>53754.57</v>
      </c>
      <c r="G427" s="309">
        <f t="shared" si="89"/>
        <v>73979</v>
      </c>
      <c r="H427" s="309">
        <f t="shared" si="89"/>
        <v>43701</v>
      </c>
      <c r="I427" s="309">
        <f t="shared" si="89"/>
        <v>74490.495999999999</v>
      </c>
      <c r="J427" s="309">
        <f t="shared" si="89"/>
        <v>78451.946352949992</v>
      </c>
      <c r="K427" s="309">
        <f t="shared" si="89"/>
        <v>73764</v>
      </c>
      <c r="L427" s="309">
        <f t="shared" si="89"/>
        <v>46457.09</v>
      </c>
      <c r="M427" s="136">
        <f t="shared" si="88"/>
        <v>69685.634999999995</v>
      </c>
      <c r="N427" s="309">
        <f>SUM(N419:N426)</f>
        <v>80059.006099999999</v>
      </c>
    </row>
    <row r="428" spans="1:14" ht="17.45" customHeight="1" x14ac:dyDescent="0.25">
      <c r="A428" s="315">
        <v>520.01</v>
      </c>
      <c r="B428" s="316" t="s">
        <v>133</v>
      </c>
      <c r="C428" s="326">
        <v>2000</v>
      </c>
      <c r="D428" s="327">
        <v>1280</v>
      </c>
      <c r="E428" s="326">
        <v>1920</v>
      </c>
      <c r="F428" s="327">
        <v>1300</v>
      </c>
      <c r="G428" s="340">
        <v>1000</v>
      </c>
      <c r="H428" s="340">
        <v>735</v>
      </c>
      <c r="I428" s="226">
        <v>1000</v>
      </c>
      <c r="J428" s="226">
        <v>1000</v>
      </c>
      <c r="K428" s="226">
        <v>1000</v>
      </c>
      <c r="L428" s="226">
        <v>813.78</v>
      </c>
      <c r="M428" s="204">
        <f t="shared" si="88"/>
        <v>1220.67</v>
      </c>
      <c r="N428" s="226">
        <v>1200</v>
      </c>
    </row>
    <row r="429" spans="1:14" ht="17.45" customHeight="1" x14ac:dyDescent="0.25">
      <c r="A429" s="315">
        <v>520.02</v>
      </c>
      <c r="B429" s="316" t="s">
        <v>166</v>
      </c>
      <c r="C429" s="326">
        <v>1500</v>
      </c>
      <c r="D429" s="327">
        <v>460</v>
      </c>
      <c r="E429" s="326">
        <v>690</v>
      </c>
      <c r="F429" s="327">
        <v>1000</v>
      </c>
      <c r="G429" s="340">
        <v>800</v>
      </c>
      <c r="H429" s="340">
        <v>378</v>
      </c>
      <c r="I429" s="226">
        <v>800</v>
      </c>
      <c r="J429" s="226">
        <v>800</v>
      </c>
      <c r="K429" s="226">
        <v>800</v>
      </c>
      <c r="L429" s="226">
        <v>688.05</v>
      </c>
      <c r="M429" s="204">
        <f t="shared" si="88"/>
        <v>1032.0749999999998</v>
      </c>
      <c r="N429" s="226">
        <v>900</v>
      </c>
    </row>
    <row r="430" spans="1:14" ht="17.45" customHeight="1" x14ac:dyDescent="0.25">
      <c r="A430" s="257">
        <v>520.03</v>
      </c>
      <c r="B430" s="203" t="s">
        <v>284</v>
      </c>
      <c r="C430" s="349"/>
      <c r="D430" s="344"/>
      <c r="E430" s="349"/>
      <c r="F430" s="344">
        <v>75</v>
      </c>
      <c r="G430" s="256">
        <v>50</v>
      </c>
      <c r="H430" s="256">
        <v>141</v>
      </c>
      <c r="I430" s="204">
        <v>200</v>
      </c>
      <c r="J430" s="204">
        <f>SUM('Budget Req-Muni Court'!E27)</f>
        <v>200</v>
      </c>
      <c r="K430" s="204">
        <v>200</v>
      </c>
      <c r="L430" s="204">
        <v>30</v>
      </c>
      <c r="M430" s="204">
        <f t="shared" si="88"/>
        <v>45</v>
      </c>
      <c r="N430" s="204">
        <v>200</v>
      </c>
    </row>
    <row r="431" spans="1:14" ht="17.45" customHeight="1" x14ac:dyDescent="0.25">
      <c r="A431" s="257">
        <v>520.08000000000004</v>
      </c>
      <c r="B431" s="203" t="s">
        <v>135</v>
      </c>
      <c r="C431" s="349">
        <v>3000</v>
      </c>
      <c r="D431" s="344">
        <v>2020</v>
      </c>
      <c r="E431" s="349">
        <v>3030</v>
      </c>
      <c r="F431" s="344">
        <v>500</v>
      </c>
      <c r="G431" s="256">
        <v>600</v>
      </c>
      <c r="H431" s="256">
        <v>225</v>
      </c>
      <c r="I431" s="204">
        <v>500</v>
      </c>
      <c r="J431" s="204">
        <v>500</v>
      </c>
      <c r="K431" s="204">
        <v>500</v>
      </c>
      <c r="L431" s="204">
        <v>134.51</v>
      </c>
      <c r="M431" s="204">
        <f t="shared" si="88"/>
        <v>201.76499999999999</v>
      </c>
      <c r="N431" s="204">
        <v>400</v>
      </c>
    </row>
    <row r="432" spans="1:14" ht="17.45" customHeight="1" x14ac:dyDescent="0.25">
      <c r="A432" s="257">
        <v>520.1</v>
      </c>
      <c r="B432" s="203" t="s">
        <v>184</v>
      </c>
      <c r="C432" s="349">
        <v>500</v>
      </c>
      <c r="D432" s="349">
        <v>0</v>
      </c>
      <c r="E432" s="349">
        <v>0</v>
      </c>
      <c r="F432" s="344">
        <v>0</v>
      </c>
      <c r="G432" s="256">
        <v>450</v>
      </c>
      <c r="H432" s="256">
        <v>282</v>
      </c>
      <c r="I432" s="204">
        <v>450</v>
      </c>
      <c r="J432" s="204">
        <v>450</v>
      </c>
      <c r="K432" s="204">
        <v>450</v>
      </c>
      <c r="L432" s="204">
        <v>414.31</v>
      </c>
      <c r="M432" s="204">
        <f t="shared" si="88"/>
        <v>621.46500000000003</v>
      </c>
      <c r="N432" s="204">
        <v>450</v>
      </c>
    </row>
    <row r="433" spans="1:14" s="86" customFormat="1" ht="17.45" customHeight="1" x14ac:dyDescent="0.25">
      <c r="A433" s="431" t="s">
        <v>137</v>
      </c>
      <c r="B433" s="432"/>
      <c r="C433" s="113"/>
      <c r="D433" s="113"/>
      <c r="E433" s="113"/>
      <c r="F433" s="101">
        <f t="shared" ref="F433:L433" si="90">SUM(F428:F432)</f>
        <v>2875</v>
      </c>
      <c r="G433" s="314">
        <f t="shared" si="90"/>
        <v>2900</v>
      </c>
      <c r="H433" s="314">
        <f t="shared" si="90"/>
        <v>1761</v>
      </c>
      <c r="I433" s="314">
        <f t="shared" si="90"/>
        <v>2950</v>
      </c>
      <c r="J433" s="314">
        <f t="shared" si="90"/>
        <v>2950</v>
      </c>
      <c r="K433" s="314">
        <f t="shared" si="90"/>
        <v>2950</v>
      </c>
      <c r="L433" s="314">
        <f t="shared" si="90"/>
        <v>2080.65</v>
      </c>
      <c r="M433" s="136">
        <f t="shared" si="88"/>
        <v>3120.9750000000004</v>
      </c>
      <c r="N433" s="314">
        <f>SUM(N428:N432)</f>
        <v>3150</v>
      </c>
    </row>
    <row r="434" spans="1:14" ht="17.45" customHeight="1" x14ac:dyDescent="0.25">
      <c r="A434" s="257">
        <v>530.01</v>
      </c>
      <c r="B434" s="203" t="s">
        <v>171</v>
      </c>
      <c r="C434" s="349">
        <v>400</v>
      </c>
      <c r="D434" s="344">
        <v>210</v>
      </c>
      <c r="E434" s="349">
        <v>320</v>
      </c>
      <c r="F434" s="344">
        <v>3300</v>
      </c>
      <c r="G434" s="256">
        <v>5400</v>
      </c>
      <c r="H434" s="256">
        <v>3968</v>
      </c>
      <c r="I434" s="204">
        <v>7000</v>
      </c>
      <c r="J434" s="204">
        <f>SUM('Budget Req-Muni Court'!E33)</f>
        <v>6000</v>
      </c>
      <c r="K434" s="204">
        <v>6000</v>
      </c>
      <c r="L434" s="204">
        <v>4040.11</v>
      </c>
      <c r="M434" s="204">
        <f t="shared" si="88"/>
        <v>6060.165</v>
      </c>
      <c r="N434" s="204">
        <v>7000</v>
      </c>
    </row>
    <row r="435" spans="1:14" s="254" customFormat="1" ht="17.45" customHeight="1" x14ac:dyDescent="0.25">
      <c r="A435" s="257">
        <v>530.02</v>
      </c>
      <c r="B435" s="203" t="s">
        <v>205</v>
      </c>
      <c r="C435" s="326">
        <v>6000</v>
      </c>
      <c r="D435" s="344">
        <v>4340</v>
      </c>
      <c r="E435" s="349">
        <v>6500</v>
      </c>
      <c r="F435" s="327">
        <v>0</v>
      </c>
      <c r="G435" s="256">
        <v>1200</v>
      </c>
      <c r="H435" s="256">
        <v>594</v>
      </c>
      <c r="I435" s="204">
        <v>1200</v>
      </c>
      <c r="J435" s="204">
        <f>SUM('Budget Req-Muni Court'!E34)</f>
        <v>1200</v>
      </c>
      <c r="K435" s="204">
        <v>1200</v>
      </c>
      <c r="L435" s="204">
        <v>1451.33</v>
      </c>
      <c r="M435" s="204">
        <f t="shared" si="88"/>
        <v>2176.9949999999999</v>
      </c>
      <c r="N435" s="204">
        <v>2280</v>
      </c>
    </row>
    <row r="436" spans="1:14" ht="17.45" customHeight="1" x14ac:dyDescent="0.25">
      <c r="A436" s="257">
        <v>530.03</v>
      </c>
      <c r="B436" s="203" t="s">
        <v>475</v>
      </c>
      <c r="C436" s="326">
        <v>600</v>
      </c>
      <c r="D436" s="344">
        <v>240</v>
      </c>
      <c r="E436" s="349">
        <v>360</v>
      </c>
      <c r="F436" s="327">
        <v>100</v>
      </c>
      <c r="G436" s="256">
        <v>100</v>
      </c>
      <c r="H436" s="256">
        <v>100</v>
      </c>
      <c r="I436" s="204">
        <v>100</v>
      </c>
      <c r="J436" s="204">
        <f>SUM('Budget Req-Muni Court'!E35)</f>
        <v>100</v>
      </c>
      <c r="K436" s="204">
        <v>100</v>
      </c>
      <c r="L436" s="204">
        <v>50</v>
      </c>
      <c r="M436" s="204">
        <f t="shared" si="88"/>
        <v>75</v>
      </c>
      <c r="N436" s="204">
        <v>100</v>
      </c>
    </row>
    <row r="437" spans="1:14" s="86" customFormat="1" ht="17.45" customHeight="1" x14ac:dyDescent="0.25">
      <c r="A437" s="257">
        <v>530.05999999999995</v>
      </c>
      <c r="B437" s="203" t="s">
        <v>231</v>
      </c>
      <c r="C437" s="349">
        <v>500</v>
      </c>
      <c r="D437" s="344">
        <v>96</v>
      </c>
      <c r="E437" s="349">
        <v>150</v>
      </c>
      <c r="F437" s="344">
        <v>100</v>
      </c>
      <c r="G437" s="256">
        <v>800</v>
      </c>
      <c r="H437" s="256">
        <v>688</v>
      </c>
      <c r="I437" s="204">
        <v>800</v>
      </c>
      <c r="J437" s="204">
        <v>800</v>
      </c>
      <c r="K437" s="204">
        <v>800</v>
      </c>
      <c r="L437" s="204">
        <v>1713.73</v>
      </c>
      <c r="M437" s="204">
        <f t="shared" si="88"/>
        <v>2570.5950000000003</v>
      </c>
      <c r="N437" s="204">
        <v>2000</v>
      </c>
    </row>
    <row r="438" spans="1:14" ht="17.45" customHeight="1" x14ac:dyDescent="0.25">
      <c r="A438" s="315">
        <v>530.07000000000005</v>
      </c>
      <c r="B438" s="316" t="s">
        <v>232</v>
      </c>
      <c r="C438" s="349">
        <v>2000</v>
      </c>
      <c r="D438" s="327">
        <v>800</v>
      </c>
      <c r="E438" s="326">
        <v>1200</v>
      </c>
      <c r="F438" s="344">
        <v>3320</v>
      </c>
      <c r="G438" s="340">
        <v>0</v>
      </c>
      <c r="H438" s="256">
        <v>0</v>
      </c>
      <c r="I438" s="226">
        <v>0</v>
      </c>
      <c r="J438" s="226">
        <f>SUM('Budget Req-Muni Court'!E37)</f>
        <v>2700</v>
      </c>
      <c r="K438" s="226">
        <v>2700</v>
      </c>
      <c r="L438" s="204">
        <v>135</v>
      </c>
      <c r="M438" s="204">
        <f t="shared" si="88"/>
        <v>202.5</v>
      </c>
      <c r="N438" s="204">
        <v>2700</v>
      </c>
    </row>
    <row r="439" spans="1:14" ht="17.45" customHeight="1" x14ac:dyDescent="0.25">
      <c r="A439" s="315">
        <v>530.1</v>
      </c>
      <c r="B439" s="316" t="s">
        <v>193</v>
      </c>
      <c r="C439" s="349">
        <v>22000</v>
      </c>
      <c r="D439" s="327">
        <v>44000</v>
      </c>
      <c r="E439" s="326">
        <v>66000</v>
      </c>
      <c r="F439" s="344">
        <v>600</v>
      </c>
      <c r="G439" s="340">
        <v>650</v>
      </c>
      <c r="H439" s="340">
        <v>329</v>
      </c>
      <c r="I439" s="204">
        <v>650</v>
      </c>
      <c r="J439" s="204">
        <v>650</v>
      </c>
      <c r="K439" s="204">
        <v>650</v>
      </c>
      <c r="L439" s="226">
        <v>641.22</v>
      </c>
      <c r="M439" s="204">
        <f t="shared" si="88"/>
        <v>961.83</v>
      </c>
      <c r="N439" s="226">
        <v>700</v>
      </c>
    </row>
    <row r="440" spans="1:14" ht="17.45" customHeight="1" x14ac:dyDescent="0.25">
      <c r="A440" s="257">
        <v>530.11</v>
      </c>
      <c r="B440" s="203" t="s">
        <v>2</v>
      </c>
      <c r="C440" s="349">
        <v>1000</v>
      </c>
      <c r="D440" s="349">
        <v>0</v>
      </c>
      <c r="E440" s="349">
        <v>0</v>
      </c>
      <c r="F440" s="344">
        <v>3100</v>
      </c>
      <c r="G440" s="256">
        <v>3000</v>
      </c>
      <c r="H440" s="256">
        <v>1987</v>
      </c>
      <c r="I440" s="204">
        <v>3500</v>
      </c>
      <c r="J440" s="204">
        <v>3500</v>
      </c>
      <c r="K440" s="204">
        <v>3500</v>
      </c>
      <c r="L440" s="204">
        <v>2031.49</v>
      </c>
      <c r="M440" s="204">
        <f t="shared" si="88"/>
        <v>3047.2350000000001</v>
      </c>
      <c r="N440" s="204">
        <v>3500</v>
      </c>
    </row>
    <row r="441" spans="1:14" ht="17.45" customHeight="1" x14ac:dyDescent="0.25">
      <c r="A441" s="257">
        <v>530.13</v>
      </c>
      <c r="B441" s="203" t="s">
        <v>143</v>
      </c>
      <c r="C441" s="349">
        <v>1500</v>
      </c>
      <c r="D441" s="344">
        <v>1750</v>
      </c>
      <c r="E441" s="349">
        <v>2500</v>
      </c>
      <c r="F441" s="344">
        <v>20750</v>
      </c>
      <c r="G441" s="256">
        <v>31296</v>
      </c>
      <c r="H441" s="256">
        <v>21247</v>
      </c>
      <c r="I441" s="204">
        <f>+H441+13000</f>
        <v>34247</v>
      </c>
      <c r="J441" s="345">
        <f>SUM('Budget Req-Muni Court'!E42)</f>
        <v>31296</v>
      </c>
      <c r="K441" s="345">
        <v>31296</v>
      </c>
      <c r="L441" s="204">
        <v>21114</v>
      </c>
      <c r="M441" s="204">
        <f t="shared" si="88"/>
        <v>31671</v>
      </c>
      <c r="N441" s="204">
        <v>31296</v>
      </c>
    </row>
    <row r="442" spans="1:14" ht="17.45" customHeight="1" x14ac:dyDescent="0.25">
      <c r="A442" s="257">
        <v>530.17999999999995</v>
      </c>
      <c r="B442" s="203" t="s">
        <v>233</v>
      </c>
      <c r="C442" s="349">
        <v>0</v>
      </c>
      <c r="D442" s="344">
        <v>0</v>
      </c>
      <c r="E442" s="349">
        <v>0</v>
      </c>
      <c r="F442" s="344">
        <v>110000</v>
      </c>
      <c r="G442" s="256">
        <v>56000</v>
      </c>
      <c r="H442" s="256">
        <v>35717</v>
      </c>
      <c r="I442" s="204">
        <f>+H442+10000</f>
        <v>45717</v>
      </c>
      <c r="J442" s="204">
        <f>SUM('Budget Req-Muni Court'!E43)</f>
        <v>46000</v>
      </c>
      <c r="K442" s="204">
        <v>46000</v>
      </c>
      <c r="L442" s="345">
        <v>36759.629999999997</v>
      </c>
      <c r="M442" s="204">
        <f t="shared" si="88"/>
        <v>55139.444999999992</v>
      </c>
      <c r="N442" s="345">
        <v>50000</v>
      </c>
    </row>
    <row r="443" spans="1:14" s="86" customFormat="1" ht="17.45" customHeight="1" x14ac:dyDescent="0.25">
      <c r="A443" s="435" t="s">
        <v>230</v>
      </c>
      <c r="B443" s="436"/>
      <c r="C443" s="437"/>
      <c r="D443" s="346"/>
      <c r="E443" s="437"/>
      <c r="F443" s="346">
        <f t="shared" ref="F443:L443" si="91">SUM(F434:F442)</f>
        <v>141270</v>
      </c>
      <c r="G443" s="136">
        <f t="shared" si="91"/>
        <v>98446</v>
      </c>
      <c r="H443" s="136">
        <f t="shared" si="91"/>
        <v>64630</v>
      </c>
      <c r="I443" s="136">
        <f t="shared" si="91"/>
        <v>93214</v>
      </c>
      <c r="J443" s="136">
        <f t="shared" si="91"/>
        <v>92246</v>
      </c>
      <c r="K443" s="136">
        <f t="shared" si="91"/>
        <v>92246</v>
      </c>
      <c r="L443" s="136">
        <f t="shared" si="91"/>
        <v>67936.509999999995</v>
      </c>
      <c r="M443" s="136">
        <f t="shared" si="88"/>
        <v>101904.76499999998</v>
      </c>
      <c r="N443" s="136">
        <f>SUM(N434:N442)</f>
        <v>99576</v>
      </c>
    </row>
    <row r="444" spans="1:14" s="86" customFormat="1" ht="17.45" customHeight="1" x14ac:dyDescent="0.25">
      <c r="A444" s="257">
        <v>540.01</v>
      </c>
      <c r="B444" s="203" t="s">
        <v>234</v>
      </c>
      <c r="C444" s="349"/>
      <c r="D444" s="344"/>
      <c r="E444" s="349"/>
      <c r="F444" s="344">
        <v>750</v>
      </c>
      <c r="G444" s="256">
        <v>1000</v>
      </c>
      <c r="H444" s="256">
        <v>555</v>
      </c>
      <c r="I444" s="204">
        <v>1000</v>
      </c>
      <c r="J444" s="204">
        <f>SUM('Budget Req-Muni Court'!E49)</f>
        <v>1500</v>
      </c>
      <c r="K444" s="226">
        <v>1500</v>
      </c>
      <c r="L444" s="226">
        <v>195</v>
      </c>
      <c r="M444" s="204">
        <f t="shared" si="88"/>
        <v>292.5</v>
      </c>
      <c r="N444" s="204">
        <v>1500</v>
      </c>
    </row>
    <row r="445" spans="1:14" s="86" customFormat="1" ht="17.45" customHeight="1" x14ac:dyDescent="0.25">
      <c r="A445" s="435" t="s">
        <v>219</v>
      </c>
      <c r="B445" s="436"/>
      <c r="C445" s="437"/>
      <c r="D445" s="346"/>
      <c r="E445" s="437"/>
      <c r="F445" s="346">
        <f t="shared" ref="F445:L445" si="92">SUM(F444)</f>
        <v>750</v>
      </c>
      <c r="G445" s="136">
        <f t="shared" si="92"/>
        <v>1000</v>
      </c>
      <c r="H445" s="136">
        <f t="shared" si="92"/>
        <v>555</v>
      </c>
      <c r="I445" s="136">
        <f t="shared" si="92"/>
        <v>1000</v>
      </c>
      <c r="J445" s="136">
        <f t="shared" si="92"/>
        <v>1500</v>
      </c>
      <c r="K445" s="136">
        <f t="shared" si="92"/>
        <v>1500</v>
      </c>
      <c r="L445" s="136">
        <f t="shared" si="92"/>
        <v>195</v>
      </c>
      <c r="M445" s="136">
        <f t="shared" si="88"/>
        <v>292.5</v>
      </c>
      <c r="N445" s="136">
        <f>SUM(N444)</f>
        <v>1500</v>
      </c>
    </row>
    <row r="446" spans="1:14" ht="17.45" customHeight="1" x14ac:dyDescent="0.25">
      <c r="A446" s="257">
        <v>550.01</v>
      </c>
      <c r="B446" s="203" t="s">
        <v>173</v>
      </c>
      <c r="C446" s="349"/>
      <c r="D446" s="344"/>
      <c r="E446" s="349"/>
      <c r="F446" s="344">
        <v>250</v>
      </c>
      <c r="G446" s="204">
        <v>250</v>
      </c>
      <c r="H446" s="256">
        <v>0</v>
      </c>
      <c r="I446" s="204">
        <v>250</v>
      </c>
      <c r="J446" s="204">
        <v>250</v>
      </c>
      <c r="K446" s="204">
        <v>250</v>
      </c>
      <c r="L446" s="204">
        <v>0</v>
      </c>
      <c r="M446" s="204">
        <f t="shared" si="88"/>
        <v>0</v>
      </c>
      <c r="N446" s="204">
        <v>250</v>
      </c>
    </row>
    <row r="447" spans="1:14" ht="17.45" customHeight="1" x14ac:dyDescent="0.25">
      <c r="A447" s="257">
        <v>550.05999999999995</v>
      </c>
      <c r="B447" s="203" t="s">
        <v>472</v>
      </c>
      <c r="C447" s="349"/>
      <c r="D447" s="344"/>
      <c r="E447" s="349"/>
      <c r="F447" s="344">
        <v>0</v>
      </c>
      <c r="G447" s="204">
        <v>250</v>
      </c>
      <c r="H447" s="256">
        <v>0</v>
      </c>
      <c r="I447" s="204">
        <v>250</v>
      </c>
      <c r="J447" s="204">
        <v>250</v>
      </c>
      <c r="K447" s="204">
        <v>250</v>
      </c>
      <c r="L447" s="204">
        <v>0</v>
      </c>
      <c r="M447" s="204">
        <f t="shared" si="88"/>
        <v>0</v>
      </c>
      <c r="N447" s="204">
        <v>450</v>
      </c>
    </row>
    <row r="448" spans="1:14" s="86" customFormat="1" ht="17.45" customHeight="1" x14ac:dyDescent="0.25">
      <c r="A448" s="431" t="s">
        <v>200</v>
      </c>
      <c r="B448" s="432"/>
      <c r="C448" s="113"/>
      <c r="D448" s="101"/>
      <c r="E448" s="113"/>
      <c r="F448" s="101">
        <f t="shared" ref="F448:L448" si="93">SUM(F446:F447)</f>
        <v>250</v>
      </c>
      <c r="G448" s="314">
        <f t="shared" si="93"/>
        <v>500</v>
      </c>
      <c r="H448" s="314">
        <f t="shared" si="93"/>
        <v>0</v>
      </c>
      <c r="I448" s="314">
        <f t="shared" si="93"/>
        <v>500</v>
      </c>
      <c r="J448" s="314">
        <f t="shared" si="93"/>
        <v>500</v>
      </c>
      <c r="K448" s="314">
        <f t="shared" si="93"/>
        <v>500</v>
      </c>
      <c r="L448" s="314">
        <f t="shared" si="93"/>
        <v>0</v>
      </c>
      <c r="M448" s="136">
        <f t="shared" si="88"/>
        <v>0</v>
      </c>
      <c r="N448" s="304">
        <f>SUM(N446:N447)</f>
        <v>700</v>
      </c>
    </row>
    <row r="449" spans="1:14" ht="17.45" customHeight="1" x14ac:dyDescent="0.25">
      <c r="A449" s="257">
        <v>560.02</v>
      </c>
      <c r="B449" s="203" t="s">
        <v>150</v>
      </c>
      <c r="C449" s="349"/>
      <c r="D449" s="344"/>
      <c r="E449" s="349"/>
      <c r="F449" s="344">
        <v>5000</v>
      </c>
      <c r="G449" s="256">
        <v>1400</v>
      </c>
      <c r="H449" s="204">
        <v>1260</v>
      </c>
      <c r="I449" s="226">
        <v>1300</v>
      </c>
      <c r="J449" s="204">
        <f>SUM('Budget Req-Muni Court'!E56)</f>
        <v>1320</v>
      </c>
      <c r="K449" s="204">
        <v>1320</v>
      </c>
      <c r="L449" s="204">
        <v>270</v>
      </c>
      <c r="M449" s="204">
        <f t="shared" si="88"/>
        <v>405</v>
      </c>
      <c r="N449" s="204">
        <f>1200+225</f>
        <v>1425</v>
      </c>
    </row>
    <row r="450" spans="1:14" ht="15.75" customHeight="1" x14ac:dyDescent="0.25">
      <c r="A450" s="257">
        <v>560.08000000000004</v>
      </c>
      <c r="B450" s="203" t="s">
        <v>235</v>
      </c>
      <c r="C450" s="349"/>
      <c r="D450" s="344"/>
      <c r="E450" s="349"/>
      <c r="F450" s="344">
        <v>800</v>
      </c>
      <c r="G450" s="256">
        <v>400</v>
      </c>
      <c r="H450" s="256">
        <v>0</v>
      </c>
      <c r="I450" s="204">
        <v>400</v>
      </c>
      <c r="J450" s="381">
        <v>400</v>
      </c>
      <c r="K450" s="204">
        <v>400</v>
      </c>
      <c r="L450" s="204">
        <v>0</v>
      </c>
      <c r="M450" s="204">
        <f t="shared" si="88"/>
        <v>0</v>
      </c>
      <c r="N450" s="204">
        <v>400</v>
      </c>
    </row>
    <row r="451" spans="1:14" s="86" customFormat="1" ht="16.5" customHeight="1" x14ac:dyDescent="0.25">
      <c r="A451" s="257">
        <v>560.1</v>
      </c>
      <c r="B451" s="203" t="s">
        <v>151</v>
      </c>
      <c r="C451" s="349"/>
      <c r="D451" s="344"/>
      <c r="E451" s="349"/>
      <c r="F451" s="344">
        <v>0</v>
      </c>
      <c r="G451" s="256">
        <v>1000</v>
      </c>
      <c r="H451" s="256">
        <v>135</v>
      </c>
      <c r="I451" s="204">
        <v>500</v>
      </c>
      <c r="J451" s="345">
        <f>SUM('Budget Req-Muni Court'!E60)</f>
        <v>1500</v>
      </c>
      <c r="K451" s="204">
        <v>1500</v>
      </c>
      <c r="L451" s="204">
        <v>693.95</v>
      </c>
      <c r="M451" s="204">
        <f t="shared" si="88"/>
        <v>1040.9250000000002</v>
      </c>
      <c r="N451" s="204">
        <v>2250</v>
      </c>
    </row>
    <row r="452" spans="1:14" s="86" customFormat="1" ht="16.5" customHeight="1" thickBot="1" x14ac:dyDescent="0.3">
      <c r="A452" s="490" t="s">
        <v>149</v>
      </c>
      <c r="B452" s="491"/>
      <c r="C452" s="92"/>
      <c r="D452" s="95"/>
      <c r="E452" s="92"/>
      <c r="F452" s="95">
        <f t="shared" ref="F452:L452" si="94">SUM(F449:F451)</f>
        <v>5800</v>
      </c>
      <c r="G452" s="466">
        <f t="shared" si="94"/>
        <v>2800</v>
      </c>
      <c r="H452" s="466">
        <f t="shared" si="94"/>
        <v>1395</v>
      </c>
      <c r="I452" s="466">
        <f t="shared" si="94"/>
        <v>2200</v>
      </c>
      <c r="J452" s="466">
        <f t="shared" si="94"/>
        <v>3220</v>
      </c>
      <c r="K452" s="411">
        <f t="shared" si="94"/>
        <v>3220</v>
      </c>
      <c r="L452" s="478">
        <f t="shared" si="94"/>
        <v>963.95</v>
      </c>
      <c r="M452" s="136">
        <f t="shared" si="88"/>
        <v>1445.9250000000002</v>
      </c>
      <c r="N452" s="136">
        <f>SUM(N449:N451)</f>
        <v>4075</v>
      </c>
    </row>
    <row r="453" spans="1:14" ht="17.25" customHeight="1" x14ac:dyDescent="0.25">
      <c r="A453" s="257">
        <v>580.01</v>
      </c>
      <c r="B453" s="203" t="s">
        <v>153</v>
      </c>
      <c r="C453" s="219"/>
      <c r="D453" s="188"/>
      <c r="E453" s="219"/>
      <c r="F453" s="188"/>
      <c r="G453" s="256">
        <v>0</v>
      </c>
      <c r="H453" s="256">
        <v>0</v>
      </c>
      <c r="I453" s="204">
        <v>0</v>
      </c>
      <c r="J453" s="226">
        <f>SUM('Budget Req-Muni Court'!E62)</f>
        <v>3500</v>
      </c>
      <c r="K453" s="208">
        <v>3500</v>
      </c>
      <c r="L453" s="287">
        <v>57.6</v>
      </c>
      <c r="M453" s="204">
        <f t="shared" si="88"/>
        <v>86.4</v>
      </c>
      <c r="N453" s="204">
        <v>3500</v>
      </c>
    </row>
    <row r="454" spans="1:14" s="86" customFormat="1" ht="17.25" customHeight="1" thickBot="1" x14ac:dyDescent="0.3">
      <c r="A454" s="403" t="s">
        <v>465</v>
      </c>
      <c r="B454" s="135"/>
      <c r="C454" s="92"/>
      <c r="D454" s="95"/>
      <c r="E454" s="92"/>
      <c r="F454" s="95"/>
      <c r="G454" s="492">
        <f t="shared" ref="G454:L454" si="95">SUM(G453)</f>
        <v>0</v>
      </c>
      <c r="H454" s="492">
        <f t="shared" si="95"/>
        <v>0</v>
      </c>
      <c r="I454" s="136">
        <f t="shared" si="95"/>
        <v>0</v>
      </c>
      <c r="J454" s="136">
        <f t="shared" si="95"/>
        <v>3500</v>
      </c>
      <c r="K454" s="299">
        <f t="shared" si="95"/>
        <v>3500</v>
      </c>
      <c r="L454" s="324">
        <f t="shared" si="95"/>
        <v>57.6</v>
      </c>
      <c r="M454" s="136">
        <f t="shared" si="88"/>
        <v>86.4</v>
      </c>
      <c r="N454" s="136">
        <f>SUM(N453)</f>
        <v>3500</v>
      </c>
    </row>
    <row r="455" spans="1:14" ht="17.45" customHeight="1" thickBot="1" x14ac:dyDescent="0.3">
      <c r="A455" s="592" t="s">
        <v>301</v>
      </c>
      <c r="B455" s="593"/>
      <c r="C455" s="149">
        <f>SUM(C419:C454)</f>
        <v>85172</v>
      </c>
      <c r="D455" s="150">
        <f>SUM(D419:D454)</f>
        <v>83527</v>
      </c>
      <c r="E455" s="150">
        <f>SUM(E419:E454)</f>
        <v>125855</v>
      </c>
      <c r="F455" s="154" t="e">
        <f>SUM(F427+F433+F443+F445+F448+F452+#REF!)</f>
        <v>#REF!</v>
      </c>
      <c r="G455" s="155" t="e">
        <f>SUM(G427+G433+G443+G445+G448+G452+G454+#REF!)</f>
        <v>#REF!</v>
      </c>
      <c r="H455" s="155" t="e">
        <f>SUM(H427+H433+H443+H445+H448+H452+H454+#REF!)</f>
        <v>#REF!</v>
      </c>
      <c r="I455" s="155" t="e">
        <f>SUM(I427+I433+I443+I445+I448+I452+I454+#REF!)</f>
        <v>#REF!</v>
      </c>
      <c r="J455" s="155" t="e">
        <f>SUM(J427+J433+J443+J445+J448+J452+J454+#REF!)</f>
        <v>#REF!</v>
      </c>
      <c r="K455" s="155">
        <f>SUM(K427+K433+K443+K445+K448+K452+K454)</f>
        <v>177680</v>
      </c>
      <c r="L455" s="155">
        <f>SUM(L427+L433+L443+L445+L448+L452+L454)</f>
        <v>117690.8</v>
      </c>
      <c r="M455" s="155">
        <f>SUM(M427+M433+M443+M445+M448+M452+M454)</f>
        <v>176536.19999999998</v>
      </c>
      <c r="N455" s="155">
        <f>SUM(N427+N433+N443+N445+N448+N452+N454)</f>
        <v>192560.0061</v>
      </c>
    </row>
    <row r="456" spans="1:14" ht="17.45" customHeight="1" x14ac:dyDescent="0.25">
      <c r="A456" s="186"/>
      <c r="B456" s="186"/>
      <c r="C456" s="186"/>
      <c r="D456" s="186"/>
      <c r="E456" s="186"/>
      <c r="F456" s="186"/>
      <c r="G456" s="43"/>
      <c r="H456" s="43"/>
      <c r="I456" s="43"/>
      <c r="J456" s="43"/>
      <c r="K456" s="186"/>
    </row>
    <row r="457" spans="1:14" s="242" customFormat="1" x14ac:dyDescent="0.25">
      <c r="A457" s="1"/>
      <c r="B457" s="94"/>
      <c r="C457" s="98"/>
      <c r="D457" s="95"/>
      <c r="E457" s="95"/>
      <c r="F457" s="98"/>
      <c r="G457" s="250"/>
      <c r="H457" s="250"/>
      <c r="I457" s="187"/>
      <c r="J457" s="187"/>
      <c r="K457" s="1"/>
      <c r="L457" s="44"/>
      <c r="M457" s="187"/>
      <c r="N457" s="116"/>
    </row>
    <row r="458" spans="1:14" ht="36" x14ac:dyDescent="0.25">
      <c r="A458" s="1"/>
      <c r="B458" s="577" t="s">
        <v>952</v>
      </c>
      <c r="C458" s="92">
        <v>2176167</v>
      </c>
      <c r="D458" s="95">
        <v>1327519</v>
      </c>
      <c r="E458" s="95">
        <v>2029002</v>
      </c>
      <c r="F458" s="95" t="e">
        <f>SUM(F106+F151+F193+F237+F278+F330+F347+F364+F376+F415+F455)</f>
        <v>#REF!</v>
      </c>
      <c r="G458" s="116" t="e">
        <f>SUM(G106+G151+G193+G237+G278+G330+G347+G364+G376+G415+G455+#REF!)</f>
        <v>#REF!</v>
      </c>
      <c r="H458" s="116" t="e">
        <f>SUM(H106+H151+H193+H237+H278+H330+H347+H364+H376+H415+H455+#REF!)</f>
        <v>#REF!</v>
      </c>
      <c r="I458" s="116" t="e">
        <f>SUM(I106+I151+I193+I237+I278+I330+I347+I364+I376+I415+I455+#REF!)</f>
        <v>#REF!</v>
      </c>
      <c r="J458" s="123" t="e">
        <f>SUM(J106+J151+J193+J237+J278+J330+J347+J364+K376+J415+J455+#REF!)</f>
        <v>#REF!</v>
      </c>
      <c r="K458" s="123">
        <f>SUM(K106+K151+K193+K237+K278+K330+K347+K364+L376+K415+K455+K376)</f>
        <v>4114266.6924999999</v>
      </c>
      <c r="L458" s="123">
        <f>SUM(L106+L151+L193+L237+L278+L330+L347+L364+M376+L415+L455+L376)</f>
        <v>2519156.4649999999</v>
      </c>
      <c r="M458" s="123">
        <f>SUM(M106+M151+M193+M237+M278+M330+M347+M364+N376+M415+M455+M376)</f>
        <v>3819745.5749999993</v>
      </c>
      <c r="N458" s="123">
        <f>SUM(N106+N151+N193+N237+N278+N330+N347+N364+O376+N415+N455+N376)</f>
        <v>4906089.5457739998</v>
      </c>
    </row>
    <row r="459" spans="1:14" ht="36" x14ac:dyDescent="0.25">
      <c r="A459" s="86"/>
      <c r="B459" s="578" t="s">
        <v>41</v>
      </c>
      <c r="C459" s="86"/>
      <c r="F459" s="95" t="e">
        <f t="shared" ref="F459:M459" ca="1" si="96">+SUM(F47-F458)</f>
        <v>#REF!</v>
      </c>
      <c r="G459" s="116" t="e">
        <f t="shared" ca="1" si="96"/>
        <v>#REF!</v>
      </c>
      <c r="H459" s="116" t="e">
        <f t="shared" ca="1" si="96"/>
        <v>#REF!</v>
      </c>
      <c r="I459" s="124" t="e">
        <f t="shared" ca="1" si="96"/>
        <v>#REF!</v>
      </c>
      <c r="J459" s="124" t="e">
        <f t="shared" ca="1" si="96"/>
        <v>#REF!</v>
      </c>
      <c r="K459" s="124">
        <f t="shared" ca="1" si="96"/>
        <v>325018.0541666667</v>
      </c>
      <c r="L459" s="124">
        <f t="shared" ca="1" si="96"/>
        <v>-2499525.7949999995</v>
      </c>
      <c r="M459" s="124">
        <f t="shared" ca="1" si="96"/>
        <v>0</v>
      </c>
      <c r="N459" s="614">
        <f>N47-N458</f>
        <v>235.45422600023448</v>
      </c>
    </row>
    <row r="460" spans="1:14" x14ac:dyDescent="0.25">
      <c r="A460" s="86"/>
      <c r="B460" s="578"/>
      <c r="C460" s="86"/>
      <c r="F460" s="95"/>
      <c r="G460" s="116"/>
      <c r="H460" s="116"/>
      <c r="I460" s="124"/>
      <c r="J460" s="124"/>
      <c r="K460" s="124"/>
      <c r="L460" s="124"/>
      <c r="M460" s="124"/>
      <c r="N460" s="124"/>
    </row>
    <row r="461" spans="1:14" x14ac:dyDescent="0.25">
      <c r="A461" s="86"/>
      <c r="B461" s="578"/>
      <c r="C461" s="86"/>
      <c r="F461" s="95"/>
      <c r="G461" s="116"/>
      <c r="H461" s="116"/>
      <c r="I461" s="124"/>
      <c r="J461" s="124"/>
      <c r="K461" s="124"/>
      <c r="L461" s="124"/>
      <c r="M461" s="124"/>
      <c r="N461" s="124"/>
    </row>
    <row r="462" spans="1:14" x14ac:dyDescent="0.25">
      <c r="G462" s="44"/>
      <c r="H462" s="44"/>
      <c r="I462" s="44"/>
      <c r="J462" s="187"/>
    </row>
    <row r="463" spans="1:14" x14ac:dyDescent="0.25">
      <c r="I463" s="242"/>
      <c r="J463" s="188"/>
    </row>
    <row r="464" spans="1:14" x14ac:dyDescent="0.25">
      <c r="A464" s="173"/>
      <c r="B464" s="174"/>
      <c r="C464" s="125"/>
      <c r="D464" s="125"/>
      <c r="E464" s="125"/>
      <c r="F464" s="125"/>
      <c r="G464" s="211"/>
      <c r="H464" s="79"/>
      <c r="I464" s="80" t="str">
        <f>+I2</f>
        <v xml:space="preserve"> Estimated</v>
      </c>
      <c r="J464" s="80" t="s">
        <v>778</v>
      </c>
      <c r="K464" s="80" t="s">
        <v>767</v>
      </c>
      <c r="L464" s="79"/>
      <c r="M464" s="87" t="s">
        <v>655</v>
      </c>
      <c r="N464" s="87" t="s">
        <v>802</v>
      </c>
    </row>
    <row r="465" spans="1:14" x14ac:dyDescent="0.25">
      <c r="A465" s="171" t="s">
        <v>239</v>
      </c>
      <c r="B465" s="172"/>
      <c r="C465" s="122" t="s">
        <v>23</v>
      </c>
      <c r="D465" s="122" t="s">
        <v>26</v>
      </c>
      <c r="E465" s="122" t="s">
        <v>25</v>
      </c>
      <c r="F465" s="122" t="s">
        <v>338</v>
      </c>
      <c r="G465" s="83" t="str">
        <f>+G3</f>
        <v>Budget 2016-17</v>
      </c>
      <c r="H465" s="83" t="str">
        <f>+H3</f>
        <v>Actual 5/31/17</v>
      </c>
      <c r="I465" s="209">
        <f>+I3</f>
        <v>43008</v>
      </c>
      <c r="J465" s="83" t="str">
        <f>+J3</f>
        <v>Budget 2017-18</v>
      </c>
      <c r="K465" s="83" t="s">
        <v>766</v>
      </c>
      <c r="L465" s="83" t="s">
        <v>779</v>
      </c>
      <c r="M465" s="380">
        <v>43373</v>
      </c>
      <c r="N465" s="379" t="s">
        <v>803</v>
      </c>
    </row>
    <row r="466" spans="1:14" x14ac:dyDescent="0.25">
      <c r="A466" s="238">
        <v>309.04000000000002</v>
      </c>
      <c r="B466" s="196" t="s">
        <v>794</v>
      </c>
      <c r="C466" s="219"/>
      <c r="D466" s="188"/>
      <c r="E466" s="219"/>
      <c r="F466" s="188"/>
      <c r="G466" s="208"/>
      <c r="H466" s="208"/>
      <c r="I466" s="208"/>
      <c r="J466" s="208"/>
      <c r="K466" s="208">
        <v>0</v>
      </c>
      <c r="L466" s="208">
        <v>308.87</v>
      </c>
      <c r="M466" s="204">
        <f>(L466/8)*12</f>
        <v>463.30500000000001</v>
      </c>
      <c r="N466" s="204">
        <v>500</v>
      </c>
    </row>
    <row r="467" spans="1:14" s="86" customFormat="1" x14ac:dyDescent="0.25">
      <c r="A467" s="300" t="s">
        <v>795</v>
      </c>
      <c r="B467" s="308"/>
      <c r="C467" s="113"/>
      <c r="D467" s="101"/>
      <c r="E467" s="113"/>
      <c r="F467" s="101"/>
      <c r="G467" s="304"/>
      <c r="H467" s="304"/>
      <c r="I467" s="304"/>
      <c r="J467" s="304"/>
      <c r="K467" s="304">
        <f>SUM(K466:K466)</f>
        <v>0</v>
      </c>
      <c r="L467" s="304">
        <f>SUM(L466:L466)</f>
        <v>308.87</v>
      </c>
      <c r="M467" s="136">
        <f t="shared" ref="M467:M491" si="97">(L467/8)*12</f>
        <v>463.30500000000001</v>
      </c>
      <c r="N467" s="304">
        <f>SUM(N466)</f>
        <v>500</v>
      </c>
    </row>
    <row r="468" spans="1:14" x14ac:dyDescent="0.25">
      <c r="A468" s="353" t="s">
        <v>240</v>
      </c>
      <c r="B468" s="203" t="s">
        <v>241</v>
      </c>
      <c r="C468" s="349">
        <v>1950000</v>
      </c>
      <c r="D468" s="344">
        <v>1247402</v>
      </c>
      <c r="E468" s="349">
        <v>1900000</v>
      </c>
      <c r="F468" s="344">
        <v>690137</v>
      </c>
      <c r="G468" s="204">
        <v>910000</v>
      </c>
      <c r="H468" s="202">
        <v>550390</v>
      </c>
      <c r="I468" s="204">
        <f>+H468+(75000*4)</f>
        <v>850390</v>
      </c>
      <c r="J468" s="204">
        <f>(412624-17252-283130)*12</f>
        <v>1346904</v>
      </c>
      <c r="K468" s="204">
        <v>1346904</v>
      </c>
      <c r="L468" s="204">
        <v>1187878.51</v>
      </c>
      <c r="M468" s="204">
        <f t="shared" si="97"/>
        <v>1781817.7650000001</v>
      </c>
      <c r="N468" s="204">
        <v>1500000</v>
      </c>
    </row>
    <row r="469" spans="1:14" x14ac:dyDescent="0.25">
      <c r="A469" s="257">
        <v>351.02</v>
      </c>
      <c r="B469" s="203" t="s">
        <v>242</v>
      </c>
      <c r="C469" s="349">
        <v>1090115</v>
      </c>
      <c r="D469" s="344">
        <v>905831</v>
      </c>
      <c r="E469" s="349">
        <v>1358747</v>
      </c>
      <c r="F469" s="344">
        <v>1407248</v>
      </c>
      <c r="G469" s="204">
        <v>1557000</v>
      </c>
      <c r="H469" s="204">
        <v>1118268</v>
      </c>
      <c r="I469" s="204">
        <f>+H469+(145000*4)</f>
        <v>1698268</v>
      </c>
      <c r="J469" s="204">
        <f>283130*12</f>
        <v>3397560</v>
      </c>
      <c r="K469" s="204">
        <v>3397560</v>
      </c>
      <c r="L469" s="204">
        <v>2294989.66</v>
      </c>
      <c r="M469" s="204">
        <f t="shared" si="97"/>
        <v>3442484.49</v>
      </c>
      <c r="N469" s="204">
        <v>3397560</v>
      </c>
    </row>
    <row r="470" spans="1:14" x14ac:dyDescent="0.25">
      <c r="A470" s="257">
        <v>351.03</v>
      </c>
      <c r="B470" s="203" t="s">
        <v>243</v>
      </c>
      <c r="C470" s="349">
        <v>5000</v>
      </c>
      <c r="D470" s="344">
        <v>3440</v>
      </c>
      <c r="E470" s="349">
        <v>5000</v>
      </c>
      <c r="F470" s="344">
        <v>16000</v>
      </c>
      <c r="G470" s="204">
        <v>500</v>
      </c>
      <c r="H470" s="345">
        <v>0</v>
      </c>
      <c r="I470" s="204">
        <v>500</v>
      </c>
      <c r="J470" s="204">
        <v>0</v>
      </c>
      <c r="K470" s="204">
        <v>0</v>
      </c>
      <c r="L470" s="204">
        <v>0</v>
      </c>
      <c r="M470" s="204">
        <f t="shared" si="97"/>
        <v>0</v>
      </c>
      <c r="N470" s="204">
        <v>0</v>
      </c>
    </row>
    <row r="471" spans="1:14" x14ac:dyDescent="0.25">
      <c r="A471" s="257">
        <v>351.04</v>
      </c>
      <c r="B471" s="203" t="s">
        <v>796</v>
      </c>
      <c r="C471" s="349"/>
      <c r="D471" s="344"/>
      <c r="E471" s="349"/>
      <c r="F471" s="344">
        <v>95615</v>
      </c>
      <c r="G471" s="204">
        <v>93000</v>
      </c>
      <c r="H471" s="204">
        <v>58684</v>
      </c>
      <c r="I471" s="204">
        <f>+H471+(7600*4)</f>
        <v>89084</v>
      </c>
      <c r="J471" s="204">
        <f>17252*12</f>
        <v>207024</v>
      </c>
      <c r="K471" s="204">
        <v>207024</v>
      </c>
      <c r="L471" s="204">
        <v>212920.22</v>
      </c>
      <c r="M471" s="204">
        <f t="shared" si="97"/>
        <v>319380.33</v>
      </c>
      <c r="N471" s="204">
        <v>275000</v>
      </c>
    </row>
    <row r="472" spans="1:14" s="86" customFormat="1" x14ac:dyDescent="0.25">
      <c r="A472" s="431" t="s">
        <v>244</v>
      </c>
      <c r="B472" s="432"/>
      <c r="C472" s="113"/>
      <c r="D472" s="101"/>
      <c r="E472" s="113"/>
      <c r="F472" s="101">
        <f t="shared" ref="F472:L472" si="98">SUM(F468:F471)</f>
        <v>2209000</v>
      </c>
      <c r="G472" s="314">
        <f t="shared" si="98"/>
        <v>2560500</v>
      </c>
      <c r="H472" s="314">
        <f t="shared" si="98"/>
        <v>1727342</v>
      </c>
      <c r="I472" s="314">
        <f t="shared" si="98"/>
        <v>2638242</v>
      </c>
      <c r="J472" s="314">
        <f t="shared" si="98"/>
        <v>4951488</v>
      </c>
      <c r="K472" s="314">
        <f t="shared" si="98"/>
        <v>4951488</v>
      </c>
      <c r="L472" s="314">
        <f t="shared" si="98"/>
        <v>3695788.39</v>
      </c>
      <c r="M472" s="136">
        <f t="shared" si="97"/>
        <v>5543682.585</v>
      </c>
      <c r="N472" s="304">
        <f>SUM(N468:N471)</f>
        <v>5172560</v>
      </c>
    </row>
    <row r="473" spans="1:14" x14ac:dyDescent="0.25">
      <c r="A473" s="257">
        <v>352.01</v>
      </c>
      <c r="B473" s="203" t="s">
        <v>245</v>
      </c>
      <c r="C473" s="349">
        <v>10000</v>
      </c>
      <c r="D473" s="344">
        <v>11650</v>
      </c>
      <c r="E473" s="349">
        <v>17475</v>
      </c>
      <c r="F473" s="344">
        <v>351400</v>
      </c>
      <c r="G473" s="345">
        <v>402000</v>
      </c>
      <c r="H473" s="204">
        <v>257627</v>
      </c>
      <c r="I473" s="345">
        <f>+H473+(33600*4)</f>
        <v>392027</v>
      </c>
      <c r="J473" s="204">
        <f>(250058-23302-152474)*12</f>
        <v>891384</v>
      </c>
      <c r="K473" s="204">
        <f>(250058-23302-152474)*12</f>
        <v>891384</v>
      </c>
      <c r="L473" s="204">
        <v>539704.67000000004</v>
      </c>
      <c r="M473" s="204">
        <f t="shared" si="97"/>
        <v>809557.00500000012</v>
      </c>
      <c r="N473" s="204">
        <v>750000</v>
      </c>
    </row>
    <row r="474" spans="1:14" s="254" customFormat="1" x14ac:dyDescent="0.25">
      <c r="A474" s="257">
        <v>352.02</v>
      </c>
      <c r="B474" s="203" t="s">
        <v>246</v>
      </c>
      <c r="C474" s="349">
        <v>2000</v>
      </c>
      <c r="D474" s="344">
        <v>1450</v>
      </c>
      <c r="E474" s="349">
        <v>2175</v>
      </c>
      <c r="F474" s="344">
        <v>1401200</v>
      </c>
      <c r="G474" s="204">
        <v>1188000</v>
      </c>
      <c r="H474" s="204">
        <v>885846</v>
      </c>
      <c r="I474" s="204">
        <f>+H474+(110000*4)</f>
        <v>1325846</v>
      </c>
      <c r="J474" s="204">
        <f>152474*12</f>
        <v>1829688</v>
      </c>
      <c r="K474" s="204">
        <f>152474*12</f>
        <v>1829688</v>
      </c>
      <c r="L474" s="204">
        <v>1310020.98</v>
      </c>
      <c r="M474" s="204">
        <f t="shared" si="97"/>
        <v>1965031.47</v>
      </c>
      <c r="N474" s="204">
        <v>1829688</v>
      </c>
    </row>
    <row r="475" spans="1:14" x14ac:dyDescent="0.25">
      <c r="A475" s="257">
        <v>352.03</v>
      </c>
      <c r="B475" s="203" t="s">
        <v>797</v>
      </c>
      <c r="C475" s="349">
        <v>0</v>
      </c>
      <c r="D475" s="344">
        <v>0</v>
      </c>
      <c r="E475" s="349">
        <v>0</v>
      </c>
      <c r="F475" s="344">
        <v>279636</v>
      </c>
      <c r="G475" s="204">
        <v>279600</v>
      </c>
      <c r="H475" s="204">
        <v>186417</v>
      </c>
      <c r="I475" s="204">
        <f>+H475+(23302*4)</f>
        <v>279625</v>
      </c>
      <c r="J475" s="204">
        <f>9356*12</f>
        <v>112272</v>
      </c>
      <c r="K475" s="204">
        <f>9356*12</f>
        <v>112272</v>
      </c>
      <c r="L475" s="204">
        <v>186417.36</v>
      </c>
      <c r="M475" s="204">
        <f t="shared" si="97"/>
        <v>279626.03999999998</v>
      </c>
      <c r="N475" s="204">
        <v>250000</v>
      </c>
    </row>
    <row r="476" spans="1:14" x14ac:dyDescent="0.25">
      <c r="A476" s="257">
        <v>352.04</v>
      </c>
      <c r="B476" s="203" t="s">
        <v>247</v>
      </c>
      <c r="C476" s="349">
        <v>1000</v>
      </c>
      <c r="D476" s="344">
        <v>0</v>
      </c>
      <c r="E476" s="350">
        <v>0</v>
      </c>
      <c r="F476" s="344">
        <v>3000</v>
      </c>
      <c r="G476" s="204">
        <v>7400</v>
      </c>
      <c r="H476" s="204">
        <v>687</v>
      </c>
      <c r="I476" s="204">
        <v>2000</v>
      </c>
      <c r="J476" s="204">
        <v>2000</v>
      </c>
      <c r="K476" s="204">
        <v>2000</v>
      </c>
      <c r="L476" s="204">
        <v>29808.36</v>
      </c>
      <c r="M476" s="204">
        <f t="shared" si="97"/>
        <v>44712.54</v>
      </c>
      <c r="N476" s="204">
        <v>20000</v>
      </c>
    </row>
    <row r="477" spans="1:14" s="86" customFormat="1" x14ac:dyDescent="0.25">
      <c r="A477" s="257">
        <v>352.06</v>
      </c>
      <c r="B477" s="203" t="s">
        <v>548</v>
      </c>
      <c r="C477" s="349">
        <v>285000</v>
      </c>
      <c r="D477" s="344">
        <v>186417</v>
      </c>
      <c r="E477" s="349">
        <v>279625</v>
      </c>
      <c r="F477" s="344">
        <v>200</v>
      </c>
      <c r="G477" s="204">
        <v>51000</v>
      </c>
      <c r="H477" s="204">
        <v>31200</v>
      </c>
      <c r="I477" s="204">
        <v>51000</v>
      </c>
      <c r="J477" s="204">
        <v>50000</v>
      </c>
      <c r="K477" s="204">
        <v>50000</v>
      </c>
      <c r="L477" s="204">
        <v>69323.47</v>
      </c>
      <c r="M477" s="204">
        <f t="shared" si="97"/>
        <v>103985.205</v>
      </c>
      <c r="N477" s="204">
        <v>50000</v>
      </c>
    </row>
    <row r="478" spans="1:14" s="86" customFormat="1" x14ac:dyDescent="0.25">
      <c r="A478" s="431" t="s">
        <v>248</v>
      </c>
      <c r="B478" s="432"/>
      <c r="C478" s="113"/>
      <c r="D478" s="101"/>
      <c r="E478" s="113"/>
      <c r="F478" s="101">
        <f t="shared" ref="F478:L478" si="99">SUM(F473:F477)</f>
        <v>2035436</v>
      </c>
      <c r="G478" s="314">
        <f t="shared" si="99"/>
        <v>1928000</v>
      </c>
      <c r="H478" s="314">
        <f t="shared" si="99"/>
        <v>1361777</v>
      </c>
      <c r="I478" s="314">
        <f t="shared" si="99"/>
        <v>2050498</v>
      </c>
      <c r="J478" s="314">
        <f t="shared" si="99"/>
        <v>2885344</v>
      </c>
      <c r="K478" s="314">
        <f t="shared" si="99"/>
        <v>2885344</v>
      </c>
      <c r="L478" s="314">
        <f t="shared" si="99"/>
        <v>2135274.84</v>
      </c>
      <c r="M478" s="136">
        <f t="shared" si="97"/>
        <v>3202912.26</v>
      </c>
      <c r="N478" s="136">
        <f>SUM(N473:N477)</f>
        <v>2899688</v>
      </c>
    </row>
    <row r="479" spans="1:14" x14ac:dyDescent="0.25">
      <c r="A479" s="257">
        <v>353.01</v>
      </c>
      <c r="B479" s="203" t="s">
        <v>250</v>
      </c>
      <c r="C479" s="349">
        <v>20000</v>
      </c>
      <c r="D479" s="344">
        <v>22351</v>
      </c>
      <c r="E479" s="349">
        <v>33525</v>
      </c>
      <c r="F479" s="344">
        <v>20000</v>
      </c>
      <c r="G479" s="204">
        <v>15000</v>
      </c>
      <c r="H479" s="204">
        <v>3884</v>
      </c>
      <c r="I479" s="204">
        <v>7000</v>
      </c>
      <c r="J479" s="204">
        <v>7500</v>
      </c>
      <c r="K479" s="204">
        <v>7500</v>
      </c>
      <c r="L479" s="204">
        <v>2770</v>
      </c>
      <c r="M479" s="204">
        <f t="shared" si="97"/>
        <v>4155</v>
      </c>
      <c r="N479" s="204">
        <v>4000</v>
      </c>
    </row>
    <row r="480" spans="1:14" x14ac:dyDescent="0.25">
      <c r="A480" s="257">
        <v>353.02</v>
      </c>
      <c r="B480" s="203" t="s">
        <v>251</v>
      </c>
      <c r="C480" s="349">
        <v>0</v>
      </c>
      <c r="D480" s="344">
        <v>0</v>
      </c>
      <c r="E480" s="349">
        <v>0</v>
      </c>
      <c r="F480" s="344">
        <v>6500</v>
      </c>
      <c r="G480" s="204">
        <v>4000</v>
      </c>
      <c r="H480" s="204">
        <v>800</v>
      </c>
      <c r="I480" s="204">
        <v>2000</v>
      </c>
      <c r="J480" s="204">
        <v>2000</v>
      </c>
      <c r="K480" s="204">
        <v>2000</v>
      </c>
      <c r="L480" s="204">
        <v>800</v>
      </c>
      <c r="M480" s="204">
        <f t="shared" si="97"/>
        <v>1200</v>
      </c>
      <c r="N480" s="204">
        <v>1000</v>
      </c>
    </row>
    <row r="481" spans="1:14" s="86" customFormat="1" x14ac:dyDescent="0.25">
      <c r="A481" s="431" t="s">
        <v>249</v>
      </c>
      <c r="B481" s="432"/>
      <c r="C481" s="113"/>
      <c r="D481" s="101"/>
      <c r="E481" s="113"/>
      <c r="F481" s="101">
        <f t="shared" ref="F481:L481" si="100">SUM(F479:F480)</f>
        <v>26500</v>
      </c>
      <c r="G481" s="314">
        <f t="shared" si="100"/>
        <v>19000</v>
      </c>
      <c r="H481" s="314">
        <f t="shared" si="100"/>
        <v>4684</v>
      </c>
      <c r="I481" s="314">
        <f t="shared" si="100"/>
        <v>9000</v>
      </c>
      <c r="J481" s="314">
        <f t="shared" si="100"/>
        <v>9500</v>
      </c>
      <c r="K481" s="314">
        <f t="shared" si="100"/>
        <v>9500</v>
      </c>
      <c r="L481" s="314">
        <f t="shared" si="100"/>
        <v>3570</v>
      </c>
      <c r="M481" s="136">
        <f t="shared" si="97"/>
        <v>5355</v>
      </c>
      <c r="N481" s="136">
        <f>SUM(N479:N480)</f>
        <v>5000</v>
      </c>
    </row>
    <row r="482" spans="1:14" x14ac:dyDescent="0.25">
      <c r="A482" s="257">
        <v>354.01</v>
      </c>
      <c r="B482" s="203" t="s">
        <v>22</v>
      </c>
      <c r="C482" s="349">
        <v>1500</v>
      </c>
      <c r="D482" s="344">
        <v>1825</v>
      </c>
      <c r="E482" s="349">
        <v>2737</v>
      </c>
      <c r="F482" s="344">
        <v>15000</v>
      </c>
      <c r="G482" s="204">
        <v>26000</v>
      </c>
      <c r="H482" s="204">
        <v>16600</v>
      </c>
      <c r="I482" s="204">
        <v>26000</v>
      </c>
      <c r="J482" s="204">
        <v>26000</v>
      </c>
      <c r="K482" s="204">
        <v>26000</v>
      </c>
      <c r="L482" s="204">
        <v>10550</v>
      </c>
      <c r="M482" s="204">
        <f t="shared" si="97"/>
        <v>15825</v>
      </c>
      <c r="N482" s="204">
        <v>20000</v>
      </c>
    </row>
    <row r="483" spans="1:14" x14ac:dyDescent="0.25">
      <c r="A483" s="257">
        <v>354.02</v>
      </c>
      <c r="B483" s="203" t="s">
        <v>253</v>
      </c>
      <c r="C483" s="349">
        <v>50</v>
      </c>
      <c r="D483" s="344">
        <v>78</v>
      </c>
      <c r="E483" s="349">
        <v>78</v>
      </c>
      <c r="F483" s="344">
        <v>35000</v>
      </c>
      <c r="G483" s="204">
        <v>41000</v>
      </c>
      <c r="H483" s="204">
        <v>31907</v>
      </c>
      <c r="I483" s="204">
        <v>45000</v>
      </c>
      <c r="J483" s="204">
        <v>41000</v>
      </c>
      <c r="K483" s="204">
        <v>41000</v>
      </c>
      <c r="L483" s="204">
        <v>43410.89</v>
      </c>
      <c r="M483" s="204">
        <f t="shared" si="97"/>
        <v>65116.334999999999</v>
      </c>
      <c r="N483" s="204">
        <v>50000</v>
      </c>
    </row>
    <row r="484" spans="1:14" s="86" customFormat="1" x14ac:dyDescent="0.25">
      <c r="A484" s="431" t="s">
        <v>252</v>
      </c>
      <c r="B484" s="432"/>
      <c r="C484" s="113"/>
      <c r="D484" s="101"/>
      <c r="E484" s="113"/>
      <c r="F484" s="101">
        <f t="shared" ref="F484:L484" si="101">SUM(F482:F483)</f>
        <v>50000</v>
      </c>
      <c r="G484" s="314">
        <f t="shared" si="101"/>
        <v>67000</v>
      </c>
      <c r="H484" s="314">
        <f t="shared" si="101"/>
        <v>48507</v>
      </c>
      <c r="I484" s="314">
        <f t="shared" si="101"/>
        <v>71000</v>
      </c>
      <c r="J484" s="314">
        <f t="shared" si="101"/>
        <v>67000</v>
      </c>
      <c r="K484" s="314">
        <f t="shared" si="101"/>
        <v>67000</v>
      </c>
      <c r="L484" s="314">
        <f t="shared" si="101"/>
        <v>53960.89</v>
      </c>
      <c r="M484" s="136">
        <f t="shared" si="97"/>
        <v>80941.334999999992</v>
      </c>
      <c r="N484" s="136">
        <f>SUM(N482:N483)</f>
        <v>70000</v>
      </c>
    </row>
    <row r="485" spans="1:14" x14ac:dyDescent="0.25">
      <c r="A485" s="257">
        <v>355.01</v>
      </c>
      <c r="B485" s="203" t="s">
        <v>255</v>
      </c>
      <c r="C485" s="349">
        <v>36000</v>
      </c>
      <c r="D485" s="344">
        <v>4680</v>
      </c>
      <c r="E485" s="349">
        <v>7020</v>
      </c>
      <c r="F485" s="344">
        <v>4700</v>
      </c>
      <c r="G485" s="204">
        <v>4000</v>
      </c>
      <c r="H485" s="204">
        <v>1997</v>
      </c>
      <c r="I485" s="204">
        <v>4000</v>
      </c>
      <c r="J485" s="204">
        <v>8000</v>
      </c>
      <c r="K485" s="204">
        <v>8000</v>
      </c>
      <c r="L485" s="204">
        <v>1140.29</v>
      </c>
      <c r="M485" s="204">
        <f t="shared" si="97"/>
        <v>1710.4349999999999</v>
      </c>
      <c r="N485" s="204">
        <v>1500</v>
      </c>
    </row>
    <row r="486" spans="1:14" s="86" customFormat="1" x14ac:dyDescent="0.25">
      <c r="A486" s="431" t="s">
        <v>254</v>
      </c>
      <c r="B486" s="432"/>
      <c r="C486" s="113"/>
      <c r="D486" s="101"/>
      <c r="E486" s="113"/>
      <c r="F486" s="101">
        <f t="shared" ref="F486:L486" si="102">SUM(F485:F485)</f>
        <v>4700</v>
      </c>
      <c r="G486" s="314">
        <f t="shared" si="102"/>
        <v>4000</v>
      </c>
      <c r="H486" s="314">
        <f t="shared" si="102"/>
        <v>1997</v>
      </c>
      <c r="I486" s="314">
        <f t="shared" si="102"/>
        <v>4000</v>
      </c>
      <c r="J486" s="314">
        <f t="shared" si="102"/>
        <v>8000</v>
      </c>
      <c r="K486" s="314">
        <f t="shared" si="102"/>
        <v>8000</v>
      </c>
      <c r="L486" s="314">
        <f t="shared" si="102"/>
        <v>1140.29</v>
      </c>
      <c r="M486" s="136">
        <f t="shared" si="97"/>
        <v>1710.4349999999999</v>
      </c>
      <c r="N486" s="136">
        <f>SUM(N485)</f>
        <v>1500</v>
      </c>
    </row>
    <row r="487" spans="1:14" x14ac:dyDescent="0.25">
      <c r="A487" s="257">
        <v>356.01</v>
      </c>
      <c r="B487" s="203" t="s">
        <v>257</v>
      </c>
      <c r="C487" s="349">
        <v>0</v>
      </c>
      <c r="D487" s="344">
        <v>0</v>
      </c>
      <c r="E487" s="349">
        <v>0</v>
      </c>
      <c r="F487" s="344">
        <v>1000</v>
      </c>
      <c r="G487" s="204">
        <v>5000</v>
      </c>
      <c r="H487" s="204">
        <f>850+1959</f>
        <v>2809</v>
      </c>
      <c r="I487" s="204">
        <v>5000</v>
      </c>
      <c r="J487" s="204">
        <v>5000</v>
      </c>
      <c r="K487" s="204">
        <v>5000</v>
      </c>
      <c r="L487" s="204">
        <v>50.08</v>
      </c>
      <c r="M487" s="204">
        <f t="shared" si="97"/>
        <v>75.12</v>
      </c>
      <c r="N487" s="204">
        <v>2000</v>
      </c>
    </row>
    <row r="488" spans="1:14" x14ac:dyDescent="0.25">
      <c r="A488" s="257">
        <v>356.02</v>
      </c>
      <c r="B488" s="203" t="s">
        <v>0</v>
      </c>
      <c r="C488" s="349">
        <v>0</v>
      </c>
      <c r="D488" s="344">
        <v>0</v>
      </c>
      <c r="E488" s="344">
        <v>0</v>
      </c>
      <c r="F488" s="344">
        <v>1100</v>
      </c>
      <c r="G488" s="204">
        <v>3400</v>
      </c>
      <c r="H488" s="204">
        <v>1977</v>
      </c>
      <c r="I488" s="204">
        <v>3000</v>
      </c>
      <c r="J488" s="204">
        <v>3400</v>
      </c>
      <c r="K488" s="204">
        <v>3400</v>
      </c>
      <c r="L488" s="204">
        <v>816</v>
      </c>
      <c r="M488" s="204">
        <f t="shared" si="97"/>
        <v>1224</v>
      </c>
      <c r="N488" s="204">
        <v>3000</v>
      </c>
    </row>
    <row r="489" spans="1:14" s="254" customFormat="1" x14ac:dyDescent="0.25">
      <c r="A489" s="257">
        <v>356.03</v>
      </c>
      <c r="B489" s="203" t="s">
        <v>258</v>
      </c>
      <c r="C489" s="349"/>
      <c r="D489" s="203"/>
      <c r="E489" s="203"/>
      <c r="F489" s="344">
        <v>0</v>
      </c>
      <c r="G489" s="204">
        <v>5</v>
      </c>
      <c r="H489" s="204">
        <v>-8</v>
      </c>
      <c r="I489" s="204">
        <v>10</v>
      </c>
      <c r="J489" s="204">
        <v>0</v>
      </c>
      <c r="K489" s="204">
        <v>0</v>
      </c>
      <c r="L489" s="204">
        <v>2.92</v>
      </c>
      <c r="M489" s="204">
        <f t="shared" si="97"/>
        <v>4.38</v>
      </c>
      <c r="N489" s="204">
        <v>0</v>
      </c>
    </row>
    <row r="490" spans="1:14" s="249" customFormat="1" x14ac:dyDescent="0.25">
      <c r="A490" s="257"/>
      <c r="B490" s="203" t="s">
        <v>957</v>
      </c>
      <c r="C490" s="349"/>
      <c r="D490" s="203"/>
      <c r="E490" s="203"/>
      <c r="F490" s="344"/>
      <c r="G490" s="204"/>
      <c r="H490" s="204"/>
      <c r="I490" s="204"/>
      <c r="J490" s="204"/>
      <c r="K490" s="204">
        <v>0</v>
      </c>
      <c r="L490" s="204">
        <v>0</v>
      </c>
      <c r="M490" s="204">
        <v>0</v>
      </c>
      <c r="N490" s="207">
        <v>500000</v>
      </c>
    </row>
    <row r="491" spans="1:14" s="86" customFormat="1" ht="18.75" thickBot="1" x14ac:dyDescent="0.3">
      <c r="A491" s="495" t="s">
        <v>256</v>
      </c>
      <c r="B491" s="432"/>
      <c r="C491" s="92"/>
      <c r="D491" s="94"/>
      <c r="E491" s="94"/>
      <c r="F491" s="95">
        <f t="shared" ref="F491:J491" si="103">SUM(F487:F489)</f>
        <v>2100</v>
      </c>
      <c r="G491" s="314">
        <f t="shared" si="103"/>
        <v>8405</v>
      </c>
      <c r="H491" s="314">
        <f t="shared" si="103"/>
        <v>4778</v>
      </c>
      <c r="I491" s="314">
        <f t="shared" si="103"/>
        <v>8010</v>
      </c>
      <c r="J491" s="314">
        <f t="shared" si="103"/>
        <v>8400</v>
      </c>
      <c r="K491" s="314">
        <f>SUM(K487:K490)</f>
        <v>8400</v>
      </c>
      <c r="L491" s="417">
        <f>SUM(L487:L490)</f>
        <v>869</v>
      </c>
      <c r="M491" s="136">
        <f t="shared" si="97"/>
        <v>1303.5</v>
      </c>
      <c r="N491" s="304">
        <f>SUM(N487:N490)</f>
        <v>505000</v>
      </c>
    </row>
    <row r="492" spans="1:14" ht="18.75" thickBot="1" x14ac:dyDescent="0.3">
      <c r="A492" s="596" t="s">
        <v>57</v>
      </c>
      <c r="B492" s="597"/>
      <c r="C492" s="119">
        <f>SUM(C468:C488)</f>
        <v>3400665</v>
      </c>
      <c r="D492" s="103">
        <f>SUM(D468:D489)</f>
        <v>2385124</v>
      </c>
      <c r="E492" s="119">
        <f>SUM(E468:E489)</f>
        <v>3606382</v>
      </c>
      <c r="F492" s="103">
        <f t="shared" ref="F492:K492" si="104">SUM(F472+F478+F481+F484+F486+F491)</f>
        <v>4327736</v>
      </c>
      <c r="G492" s="104">
        <f t="shared" si="104"/>
        <v>4586905</v>
      </c>
      <c r="H492" s="104">
        <f t="shared" si="104"/>
        <v>3149085</v>
      </c>
      <c r="I492" s="104">
        <f t="shared" si="104"/>
        <v>4780750</v>
      </c>
      <c r="J492" s="104">
        <f t="shared" si="104"/>
        <v>7929732</v>
      </c>
      <c r="K492" s="104">
        <f t="shared" si="104"/>
        <v>7929732</v>
      </c>
      <c r="L492" s="352">
        <f>SUM(L467+L472+L478+L481+L484+L486+L491)</f>
        <v>5890912.2799999993</v>
      </c>
      <c r="M492" s="352">
        <f>SUM(M467+M472+M478+M481+M484+M486+M491)</f>
        <v>8836368.4199999999</v>
      </c>
      <c r="N492" s="352">
        <f>SUM(N467+N472+N478+N481+N484+N486+N491)</f>
        <v>8654248</v>
      </c>
    </row>
    <row r="493" spans="1:14" x14ac:dyDescent="0.25">
      <c r="A493" s="585" t="s">
        <v>13</v>
      </c>
      <c r="B493" s="586"/>
      <c r="C493" s="210"/>
      <c r="D493" s="210"/>
      <c r="E493" s="210"/>
      <c r="F493" s="126"/>
      <c r="G493" s="358"/>
      <c r="H493" s="359"/>
      <c r="I493" s="132" t="str">
        <f>+I2</f>
        <v xml:space="preserve"> Estimated</v>
      </c>
      <c r="J493" s="132" t="s">
        <v>778</v>
      </c>
      <c r="K493" s="132" t="s">
        <v>767</v>
      </c>
      <c r="L493" s="359"/>
      <c r="M493" s="379" t="s">
        <v>655</v>
      </c>
      <c r="N493" s="379" t="s">
        <v>802</v>
      </c>
    </row>
    <row r="494" spans="1:14" s="86" customFormat="1" x14ac:dyDescent="0.25">
      <c r="A494" s="388" t="s">
        <v>431</v>
      </c>
      <c r="B494" s="389"/>
      <c r="C494" s="122" t="s">
        <v>23</v>
      </c>
      <c r="D494" s="122" t="s">
        <v>26</v>
      </c>
      <c r="E494" s="122" t="s">
        <v>25</v>
      </c>
      <c r="F494" s="122" t="s">
        <v>338</v>
      </c>
      <c r="G494" s="132" t="str">
        <f>+G3</f>
        <v>Budget 2016-17</v>
      </c>
      <c r="H494" s="132" t="str">
        <f>+H3</f>
        <v>Actual 5/31/17</v>
      </c>
      <c r="I494" s="380">
        <f>+I3</f>
        <v>43008</v>
      </c>
      <c r="J494" s="132" t="str">
        <f>+J3</f>
        <v>Budget 2017-18</v>
      </c>
      <c r="K494" s="132" t="s">
        <v>766</v>
      </c>
      <c r="L494" s="132" t="s">
        <v>779</v>
      </c>
      <c r="M494" s="380">
        <v>43373</v>
      </c>
      <c r="N494" s="379" t="s">
        <v>803</v>
      </c>
    </row>
    <row r="495" spans="1:14" x14ac:dyDescent="0.25">
      <c r="A495" s="325" t="s">
        <v>259</v>
      </c>
      <c r="B495" s="316" t="s">
        <v>5</v>
      </c>
      <c r="C495" s="326">
        <v>68700</v>
      </c>
      <c r="D495" s="327">
        <v>45996</v>
      </c>
      <c r="E495" s="327">
        <v>68994</v>
      </c>
      <c r="F495" s="327">
        <v>49438</v>
      </c>
      <c r="G495" s="226">
        <f>72525+200</f>
        <v>72725</v>
      </c>
      <c r="H495" s="226">
        <v>50616</v>
      </c>
      <c r="I495" s="226">
        <f>+H495+(5600*4)</f>
        <v>73016</v>
      </c>
      <c r="J495" s="226">
        <f>SUM('Personnel Sched-Util Admin'!I17)*1.02</f>
        <v>120280.04220000001</v>
      </c>
      <c r="K495" s="226">
        <v>79073</v>
      </c>
      <c r="L495" s="226">
        <v>57561.18</v>
      </c>
      <c r="M495" s="204">
        <f>(L495/8)*12</f>
        <v>86341.77</v>
      </c>
      <c r="N495" s="204">
        <v>117922</v>
      </c>
    </row>
    <row r="496" spans="1:14" x14ac:dyDescent="0.25">
      <c r="A496" s="315">
        <v>510.03</v>
      </c>
      <c r="B496" s="316" t="s">
        <v>43</v>
      </c>
      <c r="C496" s="326">
        <v>5324</v>
      </c>
      <c r="D496" s="327">
        <v>3892</v>
      </c>
      <c r="E496" s="327">
        <v>5189</v>
      </c>
      <c r="F496" s="327">
        <v>12000</v>
      </c>
      <c r="G496" s="226">
        <v>17500</v>
      </c>
      <c r="H496" s="226">
        <v>13882</v>
      </c>
      <c r="I496" s="226">
        <f>22701+1500-1</f>
        <v>24200</v>
      </c>
      <c r="J496" s="226">
        <f>SUM('Budget Req-Util Admin'!E12)</f>
        <v>19500</v>
      </c>
      <c r="K496" s="226">
        <v>19500</v>
      </c>
      <c r="L496" s="226">
        <v>26258.71</v>
      </c>
      <c r="M496" s="204">
        <f t="shared" ref="M496:M537" si="105">(L496/8)*12</f>
        <v>39388.065000000002</v>
      </c>
      <c r="N496" s="204">
        <v>30000</v>
      </c>
    </row>
    <row r="497" spans="1:14" s="242" customFormat="1" x14ac:dyDescent="0.25">
      <c r="A497" s="315">
        <v>510.05</v>
      </c>
      <c r="B497" s="316" t="s">
        <v>164</v>
      </c>
      <c r="C497" s="326">
        <v>2000</v>
      </c>
      <c r="D497" s="327">
        <v>814</v>
      </c>
      <c r="E497" s="327">
        <v>1085</v>
      </c>
      <c r="F497" s="327">
        <v>12998</v>
      </c>
      <c r="G497" s="226">
        <v>15318</v>
      </c>
      <c r="H497" s="226">
        <v>7929</v>
      </c>
      <c r="I497" s="226">
        <v>15000</v>
      </c>
      <c r="J497" s="226">
        <f>SUM('Budget Req-Util Admin'!E19)</f>
        <v>17221.296291499999</v>
      </c>
      <c r="K497" s="226">
        <v>17021</v>
      </c>
      <c r="L497" s="226">
        <v>10752.62</v>
      </c>
      <c r="M497" s="204">
        <f t="shared" si="105"/>
        <v>16128.93</v>
      </c>
      <c r="N497" s="204">
        <v>33300</v>
      </c>
    </row>
    <row r="498" spans="1:14" x14ac:dyDescent="0.25">
      <c r="A498" s="315">
        <v>510.06</v>
      </c>
      <c r="B498" s="316" t="s">
        <v>17</v>
      </c>
      <c r="C498" s="326">
        <v>8000</v>
      </c>
      <c r="D498" s="327">
        <v>6222</v>
      </c>
      <c r="E498" s="327">
        <v>8295</v>
      </c>
      <c r="F498" s="327">
        <v>3782.01</v>
      </c>
      <c r="G498" s="226">
        <v>5548</v>
      </c>
      <c r="H498" s="226">
        <v>3957</v>
      </c>
      <c r="I498" s="226">
        <f>+I495*0.08</f>
        <v>5841.28</v>
      </c>
      <c r="J498" s="226">
        <f>SUM('Budget Req-Util Admin'!E21)</f>
        <v>9021.0031650000001</v>
      </c>
      <c r="K498" s="226">
        <v>6049</v>
      </c>
      <c r="L498" s="226">
        <v>3404.8</v>
      </c>
      <c r="M498" s="204">
        <f t="shared" si="105"/>
        <v>5107.2000000000007</v>
      </c>
      <c r="N498" s="204">
        <f>N495*0.0765</f>
        <v>9021.0329999999994</v>
      </c>
    </row>
    <row r="499" spans="1:14" x14ac:dyDescent="0.25">
      <c r="A499" s="315">
        <v>510.07</v>
      </c>
      <c r="B499" s="316" t="s">
        <v>130</v>
      </c>
      <c r="C499" s="326">
        <v>390000</v>
      </c>
      <c r="D499" s="327">
        <v>262405</v>
      </c>
      <c r="E499" s="342">
        <v>393607</v>
      </c>
      <c r="F499" s="327">
        <v>2101.12</v>
      </c>
      <c r="G499" s="226">
        <v>3692</v>
      </c>
      <c r="H499" s="226">
        <v>1973</v>
      </c>
      <c r="I499" s="226">
        <f>+I495*0.0502</f>
        <v>3665.4032000000002</v>
      </c>
      <c r="J499" s="226">
        <f>SUM('Budget Req-Util Admin'!E23)</f>
        <v>5471.5627039999999</v>
      </c>
      <c r="K499" s="226">
        <v>4025</v>
      </c>
      <c r="L499" s="226">
        <v>1973.92</v>
      </c>
      <c r="M499" s="204">
        <f t="shared" si="105"/>
        <v>2960.88</v>
      </c>
      <c r="N499" s="204">
        <f>N495*0.0464</f>
        <v>5471.5807999999997</v>
      </c>
    </row>
    <row r="500" spans="1:14" x14ac:dyDescent="0.25">
      <c r="A500" s="315">
        <v>510.08</v>
      </c>
      <c r="B500" s="316" t="s">
        <v>278</v>
      </c>
      <c r="C500" s="326"/>
      <c r="D500" s="327"/>
      <c r="E500" s="327"/>
      <c r="F500" s="327">
        <v>129</v>
      </c>
      <c r="G500" s="226">
        <v>192</v>
      </c>
      <c r="H500" s="226">
        <v>6666</v>
      </c>
      <c r="I500" s="226">
        <v>7000</v>
      </c>
      <c r="J500" s="226">
        <f>SUM('Budget Req-Util Admin'!E25)</f>
        <v>327.93999741000005</v>
      </c>
      <c r="K500" s="226">
        <v>213</v>
      </c>
      <c r="L500" s="226">
        <v>3859.1</v>
      </c>
      <c r="M500" s="204">
        <f t="shared" si="105"/>
        <v>5788.65</v>
      </c>
      <c r="N500" s="204">
        <v>2000</v>
      </c>
    </row>
    <row r="501" spans="1:14" x14ac:dyDescent="0.25">
      <c r="A501" s="315">
        <v>510.11</v>
      </c>
      <c r="B501" s="316" t="s">
        <v>780</v>
      </c>
      <c r="C501" s="326">
        <v>12000</v>
      </c>
      <c r="D501" s="327">
        <v>2387</v>
      </c>
      <c r="E501" s="327">
        <v>3581</v>
      </c>
      <c r="F501" s="327">
        <v>3125</v>
      </c>
      <c r="G501" s="226">
        <v>0</v>
      </c>
      <c r="H501" s="226">
        <v>218</v>
      </c>
      <c r="I501" s="226">
        <v>218</v>
      </c>
      <c r="J501" s="226">
        <v>0</v>
      </c>
      <c r="K501" s="226">
        <v>0</v>
      </c>
      <c r="L501" s="226">
        <v>0</v>
      </c>
      <c r="M501" s="204">
        <f t="shared" si="105"/>
        <v>0</v>
      </c>
      <c r="N501" s="204">
        <v>600</v>
      </c>
    </row>
    <row r="502" spans="1:14" x14ac:dyDescent="0.25">
      <c r="A502" s="315">
        <v>510.12</v>
      </c>
      <c r="B502" s="316" t="s">
        <v>429</v>
      </c>
      <c r="C502" s="326"/>
      <c r="D502" s="327"/>
      <c r="E502" s="327"/>
      <c r="F502" s="327">
        <v>0</v>
      </c>
      <c r="G502" s="226">
        <v>3300</v>
      </c>
      <c r="H502" s="226">
        <v>0</v>
      </c>
      <c r="I502" s="226">
        <v>3300</v>
      </c>
      <c r="J502" s="226">
        <f>SUM('Budget Req-Util Admin'!E29)</f>
        <v>3450</v>
      </c>
      <c r="K502" s="226">
        <v>3150</v>
      </c>
      <c r="L502" s="226">
        <v>150</v>
      </c>
      <c r="M502" s="204">
        <f t="shared" si="105"/>
        <v>225</v>
      </c>
      <c r="N502" s="204">
        <v>3600</v>
      </c>
    </row>
    <row r="503" spans="1:14" s="86" customFormat="1" x14ac:dyDescent="0.25">
      <c r="A503" s="423" t="s">
        <v>178</v>
      </c>
      <c r="B503" s="424"/>
      <c r="C503" s="158"/>
      <c r="D503" s="167"/>
      <c r="E503" s="167"/>
      <c r="F503" s="167">
        <f t="shared" ref="F503:L503" si="106">SUM(F495:F502)</f>
        <v>83573.12999999999</v>
      </c>
      <c r="G503" s="309">
        <f t="shared" si="106"/>
        <v>118275</v>
      </c>
      <c r="H503" s="309">
        <f t="shared" si="106"/>
        <v>85241</v>
      </c>
      <c r="I503" s="309">
        <f t="shared" si="106"/>
        <v>132240.6832</v>
      </c>
      <c r="J503" s="309">
        <f t="shared" si="106"/>
        <v>175271.84435791004</v>
      </c>
      <c r="K503" s="309">
        <f t="shared" si="106"/>
        <v>129031</v>
      </c>
      <c r="L503" s="309">
        <f t="shared" si="106"/>
        <v>103960.33</v>
      </c>
      <c r="M503" s="136">
        <f t="shared" si="105"/>
        <v>155940.495</v>
      </c>
      <c r="N503" s="136">
        <f>SUM(N495:N502)</f>
        <v>201914.61379999999</v>
      </c>
    </row>
    <row r="504" spans="1:14" x14ac:dyDescent="0.25">
      <c r="A504" s="315">
        <v>520.01</v>
      </c>
      <c r="B504" s="316" t="s">
        <v>133</v>
      </c>
      <c r="C504" s="326">
        <v>10000</v>
      </c>
      <c r="D504" s="327">
        <v>4359</v>
      </c>
      <c r="E504" s="327">
        <v>6539</v>
      </c>
      <c r="F504" s="327">
        <v>1200</v>
      </c>
      <c r="G504" s="226">
        <v>2200</v>
      </c>
      <c r="H504" s="226">
        <v>2048</v>
      </c>
      <c r="I504" s="226">
        <v>2200</v>
      </c>
      <c r="J504" s="226">
        <v>2200</v>
      </c>
      <c r="K504" s="226">
        <v>2200</v>
      </c>
      <c r="L504" s="226">
        <v>1324.52</v>
      </c>
      <c r="M504" s="204">
        <f t="shared" si="105"/>
        <v>1986.78</v>
      </c>
      <c r="N504" s="204">
        <v>2200</v>
      </c>
    </row>
    <row r="505" spans="1:14" x14ac:dyDescent="0.25">
      <c r="A505" s="315">
        <v>520.02</v>
      </c>
      <c r="B505" s="316" t="s">
        <v>166</v>
      </c>
      <c r="C505" s="326">
        <v>11000</v>
      </c>
      <c r="D505" s="327">
        <v>9184</v>
      </c>
      <c r="E505" s="327">
        <v>11000</v>
      </c>
      <c r="F505" s="327">
        <v>7000</v>
      </c>
      <c r="G505" s="204">
        <v>11000</v>
      </c>
      <c r="H505" s="226">
        <v>6341</v>
      </c>
      <c r="I505" s="226">
        <v>11000</v>
      </c>
      <c r="J505" s="204">
        <v>10000</v>
      </c>
      <c r="K505" s="204">
        <v>10000</v>
      </c>
      <c r="L505" s="204">
        <v>6110.15</v>
      </c>
      <c r="M505" s="204">
        <f t="shared" si="105"/>
        <v>9165.2249999999985</v>
      </c>
      <c r="N505" s="204">
        <v>10000</v>
      </c>
    </row>
    <row r="506" spans="1:14" x14ac:dyDescent="0.25">
      <c r="A506" s="315">
        <v>520.03</v>
      </c>
      <c r="B506" s="316" t="s">
        <v>432</v>
      </c>
      <c r="C506" s="326"/>
      <c r="D506" s="327"/>
      <c r="E506" s="327"/>
      <c r="F506" s="327"/>
      <c r="G506" s="204">
        <v>350</v>
      </c>
      <c r="H506" s="226">
        <v>204</v>
      </c>
      <c r="I506" s="226">
        <v>400</v>
      </c>
      <c r="J506" s="204">
        <v>500</v>
      </c>
      <c r="K506" s="204">
        <v>500</v>
      </c>
      <c r="L506" s="204">
        <v>60</v>
      </c>
      <c r="M506" s="204">
        <f t="shared" si="105"/>
        <v>90</v>
      </c>
      <c r="N506" s="204">
        <v>500</v>
      </c>
    </row>
    <row r="507" spans="1:14" x14ac:dyDescent="0.25">
      <c r="A507" s="315">
        <v>520.07000000000005</v>
      </c>
      <c r="B507" s="316" t="s">
        <v>434</v>
      </c>
      <c r="C507" s="326"/>
      <c r="D507" s="327"/>
      <c r="E507" s="327"/>
      <c r="F507" s="327"/>
      <c r="G507" s="204">
        <v>100</v>
      </c>
      <c r="H507" s="226">
        <v>13</v>
      </c>
      <c r="I507" s="226">
        <v>100</v>
      </c>
      <c r="J507" s="204">
        <v>5000</v>
      </c>
      <c r="K507" s="204">
        <v>5000</v>
      </c>
      <c r="L507" s="204">
        <v>9.69</v>
      </c>
      <c r="M507" s="204">
        <f t="shared" si="105"/>
        <v>14.535</v>
      </c>
      <c r="N507" s="204">
        <v>5000</v>
      </c>
    </row>
    <row r="508" spans="1:14" x14ac:dyDescent="0.25">
      <c r="A508" s="315">
        <v>520.08000000000004</v>
      </c>
      <c r="B508" s="316" t="s">
        <v>435</v>
      </c>
      <c r="C508" s="326"/>
      <c r="D508" s="327"/>
      <c r="E508" s="327"/>
      <c r="F508" s="327"/>
      <c r="G508" s="204">
        <v>100</v>
      </c>
      <c r="H508" s="226">
        <v>16</v>
      </c>
      <c r="I508" s="226">
        <v>100</v>
      </c>
      <c r="J508" s="204">
        <v>500</v>
      </c>
      <c r="K508" s="204">
        <v>500</v>
      </c>
      <c r="L508" s="204">
        <v>0</v>
      </c>
      <c r="M508" s="204">
        <f t="shared" si="105"/>
        <v>0</v>
      </c>
      <c r="N508" s="204">
        <v>500</v>
      </c>
    </row>
    <row r="509" spans="1:14" s="86" customFormat="1" x14ac:dyDescent="0.25">
      <c r="A509" s="257">
        <v>520.1</v>
      </c>
      <c r="B509" s="203" t="s">
        <v>673</v>
      </c>
      <c r="C509" s="349">
        <v>50000</v>
      </c>
      <c r="D509" s="344">
        <v>71521</v>
      </c>
      <c r="E509" s="344">
        <v>71521</v>
      </c>
      <c r="F509" s="344">
        <v>2500</v>
      </c>
      <c r="G509" s="204">
        <v>1500</v>
      </c>
      <c r="H509" s="204">
        <v>161</v>
      </c>
      <c r="I509" s="204">
        <v>1000</v>
      </c>
      <c r="J509" s="204">
        <v>1500</v>
      </c>
      <c r="K509" s="204">
        <v>1500</v>
      </c>
      <c r="L509" s="204">
        <v>0</v>
      </c>
      <c r="M509" s="204">
        <f t="shared" si="105"/>
        <v>0</v>
      </c>
      <c r="N509" s="204">
        <v>1500</v>
      </c>
    </row>
    <row r="510" spans="1:14" s="86" customFormat="1" x14ac:dyDescent="0.25">
      <c r="A510" s="431" t="s">
        <v>137</v>
      </c>
      <c r="B510" s="432"/>
      <c r="C510" s="113"/>
      <c r="D510" s="101"/>
      <c r="E510" s="101"/>
      <c r="F510" s="101">
        <f t="shared" ref="F510:L510" si="107">SUM(F504:F509)</f>
        <v>10700</v>
      </c>
      <c r="G510" s="314">
        <f t="shared" si="107"/>
        <v>15250</v>
      </c>
      <c r="H510" s="314">
        <f t="shared" si="107"/>
        <v>8783</v>
      </c>
      <c r="I510" s="314">
        <f t="shared" si="107"/>
        <v>14800</v>
      </c>
      <c r="J510" s="314">
        <f t="shared" si="107"/>
        <v>19700</v>
      </c>
      <c r="K510" s="314">
        <f t="shared" si="107"/>
        <v>19700</v>
      </c>
      <c r="L510" s="314">
        <f t="shared" si="107"/>
        <v>7504.36</v>
      </c>
      <c r="M510" s="136">
        <f t="shared" si="105"/>
        <v>11256.539999999999</v>
      </c>
      <c r="N510" s="136">
        <f>SUM(N504:N509)</f>
        <v>19700</v>
      </c>
    </row>
    <row r="511" spans="1:14" x14ac:dyDescent="0.25">
      <c r="A511" s="257">
        <v>530.01</v>
      </c>
      <c r="B511" s="203" t="s">
        <v>171</v>
      </c>
      <c r="C511" s="350">
        <v>5500</v>
      </c>
      <c r="D511" s="344">
        <v>4273</v>
      </c>
      <c r="E511" s="344">
        <v>5697</v>
      </c>
      <c r="F511" s="344">
        <v>4100</v>
      </c>
      <c r="G511" s="204">
        <v>4400</v>
      </c>
      <c r="H511" s="204">
        <v>3595</v>
      </c>
      <c r="I511" s="204">
        <v>5500</v>
      </c>
      <c r="J511" s="204">
        <v>5000</v>
      </c>
      <c r="K511" s="204">
        <v>5000</v>
      </c>
      <c r="L511" s="204">
        <v>1222.6400000000001</v>
      </c>
      <c r="M511" s="204">
        <f t="shared" si="105"/>
        <v>1833.96</v>
      </c>
      <c r="N511" s="204">
        <v>10000</v>
      </c>
    </row>
    <row r="512" spans="1:14" x14ac:dyDescent="0.25">
      <c r="A512" s="257">
        <v>530.02</v>
      </c>
      <c r="B512" s="203" t="s">
        <v>436</v>
      </c>
      <c r="C512" s="350"/>
      <c r="D512" s="344"/>
      <c r="E512" s="344"/>
      <c r="F512" s="344"/>
      <c r="G512" s="204">
        <v>1520</v>
      </c>
      <c r="H512" s="204">
        <v>1001</v>
      </c>
      <c r="I512" s="204">
        <v>1520</v>
      </c>
      <c r="J512" s="204">
        <v>1520</v>
      </c>
      <c r="K512" s="204">
        <v>1520</v>
      </c>
      <c r="L512" s="204">
        <v>883.73</v>
      </c>
      <c r="M512" s="204">
        <f t="shared" si="105"/>
        <v>1325.595</v>
      </c>
      <c r="N512" s="204">
        <v>1520</v>
      </c>
    </row>
    <row r="513" spans="1:14" x14ac:dyDescent="0.25">
      <c r="A513" s="257">
        <v>530.03</v>
      </c>
      <c r="B513" s="203" t="s">
        <v>475</v>
      </c>
      <c r="C513" s="349">
        <v>75000</v>
      </c>
      <c r="D513" s="327">
        <v>72614</v>
      </c>
      <c r="E513" s="349">
        <v>96818</v>
      </c>
      <c r="F513" s="327">
        <v>100</v>
      </c>
      <c r="G513" s="204">
        <v>24650</v>
      </c>
      <c r="H513" s="204">
        <v>18023</v>
      </c>
      <c r="I513" s="204">
        <v>20000</v>
      </c>
      <c r="J513" s="204">
        <v>24650</v>
      </c>
      <c r="K513" s="204">
        <v>24650</v>
      </c>
      <c r="L513" s="204">
        <v>15252.36</v>
      </c>
      <c r="M513" s="204">
        <f t="shared" si="105"/>
        <v>22878.54</v>
      </c>
      <c r="N513" s="204">
        <v>24650</v>
      </c>
    </row>
    <row r="514" spans="1:14" x14ac:dyDescent="0.25">
      <c r="A514" s="257">
        <v>530.04999999999995</v>
      </c>
      <c r="B514" s="203" t="s">
        <v>18</v>
      </c>
      <c r="C514" s="349"/>
      <c r="D514" s="327"/>
      <c r="E514" s="349"/>
      <c r="F514" s="327"/>
      <c r="G514" s="204">
        <v>0</v>
      </c>
      <c r="H514" s="204">
        <v>27</v>
      </c>
      <c r="I514" s="204">
        <v>100</v>
      </c>
      <c r="J514" s="204">
        <v>100</v>
      </c>
      <c r="K514" s="204">
        <v>100</v>
      </c>
      <c r="L514" s="204">
        <v>34</v>
      </c>
      <c r="M514" s="204">
        <f t="shared" si="105"/>
        <v>51</v>
      </c>
      <c r="N514" s="204">
        <v>100</v>
      </c>
    </row>
    <row r="515" spans="1:14" x14ac:dyDescent="0.25">
      <c r="A515" s="257">
        <v>530.05999999999995</v>
      </c>
      <c r="B515" s="203" t="s">
        <v>437</v>
      </c>
      <c r="C515" s="349"/>
      <c r="D515" s="327"/>
      <c r="E515" s="349"/>
      <c r="F515" s="327"/>
      <c r="G515" s="204">
        <v>300</v>
      </c>
      <c r="H515" s="204">
        <v>0</v>
      </c>
      <c r="I515" s="204">
        <v>300</v>
      </c>
      <c r="J515" s="204">
        <v>300</v>
      </c>
      <c r="K515" s="204">
        <v>300</v>
      </c>
      <c r="L515" s="204">
        <v>0</v>
      </c>
      <c r="M515" s="204">
        <f t="shared" si="105"/>
        <v>0</v>
      </c>
      <c r="N515" s="204">
        <v>300</v>
      </c>
    </row>
    <row r="516" spans="1:14" x14ac:dyDescent="0.25">
      <c r="A516" s="257">
        <v>530.11</v>
      </c>
      <c r="B516" s="203" t="s">
        <v>2</v>
      </c>
      <c r="C516" s="349">
        <v>193060</v>
      </c>
      <c r="D516" s="344">
        <v>144794</v>
      </c>
      <c r="E516" s="344">
        <v>193060</v>
      </c>
      <c r="F516" s="344">
        <v>82000</v>
      </c>
      <c r="G516" s="204">
        <v>7500</v>
      </c>
      <c r="H516" s="204">
        <v>5189</v>
      </c>
      <c r="I516" s="204">
        <v>9000</v>
      </c>
      <c r="J516" s="204">
        <v>9000</v>
      </c>
      <c r="K516" s="204">
        <v>9000</v>
      </c>
      <c r="L516" s="204">
        <v>5014.07</v>
      </c>
      <c r="M516" s="204">
        <f t="shared" si="105"/>
        <v>7521.1049999999996</v>
      </c>
      <c r="N516" s="204">
        <v>9000</v>
      </c>
    </row>
    <row r="517" spans="1:14" x14ac:dyDescent="0.25">
      <c r="A517" s="315">
        <v>530.12</v>
      </c>
      <c r="B517" s="316" t="s">
        <v>142</v>
      </c>
      <c r="C517" s="326">
        <v>10000</v>
      </c>
      <c r="D517" s="327">
        <v>21000</v>
      </c>
      <c r="E517" s="327">
        <v>21000</v>
      </c>
      <c r="F517" s="327">
        <v>3800</v>
      </c>
      <c r="G517" s="226">
        <v>3800</v>
      </c>
      <c r="H517" s="226">
        <v>0</v>
      </c>
      <c r="I517" s="226">
        <v>3800</v>
      </c>
      <c r="J517" s="226">
        <v>5000</v>
      </c>
      <c r="K517" s="226">
        <v>5000</v>
      </c>
      <c r="L517" s="226">
        <v>0</v>
      </c>
      <c r="M517" s="204">
        <f t="shared" si="105"/>
        <v>0</v>
      </c>
      <c r="N517" s="204">
        <v>5000</v>
      </c>
    </row>
    <row r="518" spans="1:14" x14ac:dyDescent="0.25">
      <c r="A518" s="315">
        <v>530.13</v>
      </c>
      <c r="B518" s="316" t="s">
        <v>260</v>
      </c>
      <c r="C518" s="326">
        <v>1500</v>
      </c>
      <c r="D518" s="327">
        <v>2677</v>
      </c>
      <c r="E518" s="327">
        <v>3500</v>
      </c>
      <c r="F518" s="327">
        <v>5500</v>
      </c>
      <c r="G518" s="226">
        <v>7275</v>
      </c>
      <c r="H518" s="226">
        <v>7892</v>
      </c>
      <c r="I518" s="226">
        <v>8000</v>
      </c>
      <c r="J518" s="226">
        <v>8000</v>
      </c>
      <c r="K518" s="226">
        <v>16000</v>
      </c>
      <c r="L518" s="226">
        <v>8710.01</v>
      </c>
      <c r="M518" s="204">
        <f t="shared" si="105"/>
        <v>13065.014999999999</v>
      </c>
      <c r="N518" s="204">
        <v>16000</v>
      </c>
    </row>
    <row r="519" spans="1:14" x14ac:dyDescent="0.25">
      <c r="A519" s="315"/>
      <c r="B519" s="316" t="s">
        <v>958</v>
      </c>
      <c r="C519" s="310"/>
      <c r="D519" s="311"/>
      <c r="E519" s="311"/>
      <c r="F519" s="311"/>
      <c r="G519" s="226"/>
      <c r="H519" s="226"/>
      <c r="I519" s="226"/>
      <c r="J519" s="226"/>
      <c r="K519" s="226">
        <v>0</v>
      </c>
      <c r="L519" s="226">
        <v>0</v>
      </c>
      <c r="M519" s="204">
        <v>0</v>
      </c>
      <c r="N519" s="204">
        <v>500000</v>
      </c>
    </row>
    <row r="520" spans="1:14" s="86" customFormat="1" x14ac:dyDescent="0.25">
      <c r="A520" s="336" t="s">
        <v>138</v>
      </c>
      <c r="B520" s="406"/>
      <c r="C520" s="338"/>
      <c r="D520" s="338"/>
      <c r="E520" s="339"/>
      <c r="F520" s="339">
        <f t="shared" ref="F520:J520" si="108">SUM(F511:F518)</f>
        <v>95500</v>
      </c>
      <c r="G520" s="288">
        <f t="shared" si="108"/>
        <v>49445</v>
      </c>
      <c r="H520" s="288">
        <f t="shared" si="108"/>
        <v>35727</v>
      </c>
      <c r="I520" s="288">
        <f t="shared" si="108"/>
        <v>48220</v>
      </c>
      <c r="J520" s="288">
        <f t="shared" si="108"/>
        <v>53570</v>
      </c>
      <c r="K520" s="288">
        <f>SUM(K511:K519)</f>
        <v>61570</v>
      </c>
      <c r="L520" s="288">
        <f>SUM(L511:L519)</f>
        <v>31116.809999999998</v>
      </c>
      <c r="M520" s="136">
        <f t="shared" si="105"/>
        <v>46675.214999999997</v>
      </c>
      <c r="N520" s="136">
        <f>SUM(N511:N519)</f>
        <v>566570</v>
      </c>
    </row>
    <row r="521" spans="1:14" x14ac:dyDescent="0.25">
      <c r="A521" s="315">
        <v>540.01</v>
      </c>
      <c r="B521" s="316" t="s">
        <v>153</v>
      </c>
      <c r="C521" s="326">
        <v>2000</v>
      </c>
      <c r="D521" s="327">
        <v>0</v>
      </c>
      <c r="E521" s="327">
        <v>0</v>
      </c>
      <c r="F521" s="327">
        <v>0</v>
      </c>
      <c r="G521" s="226">
        <v>500</v>
      </c>
      <c r="H521" s="226">
        <v>7399</v>
      </c>
      <c r="I521" s="226">
        <v>7500</v>
      </c>
      <c r="J521" s="226">
        <v>5000</v>
      </c>
      <c r="K521" s="226">
        <v>5000</v>
      </c>
      <c r="L521" s="226">
        <v>4200</v>
      </c>
      <c r="M521" s="204">
        <f t="shared" si="105"/>
        <v>6300</v>
      </c>
      <c r="N521" s="204">
        <v>5000</v>
      </c>
    </row>
    <row r="522" spans="1:14" s="86" customFormat="1" x14ac:dyDescent="0.25">
      <c r="A522" s="423" t="s">
        <v>219</v>
      </c>
      <c r="B522" s="424"/>
      <c r="C522" s="158"/>
      <c r="D522" s="167"/>
      <c r="E522" s="167"/>
      <c r="F522" s="167">
        <f>SUM(F521:F521)</f>
        <v>0</v>
      </c>
      <c r="G522" s="309">
        <f>SUM(G521:G521)</f>
        <v>500</v>
      </c>
      <c r="H522" s="309">
        <f>SUM(H521:H521)</f>
        <v>7399</v>
      </c>
      <c r="I522" s="309">
        <f>SUM(I521:I521)</f>
        <v>7500</v>
      </c>
      <c r="J522" s="309">
        <f>SUM(J521:J521)</f>
        <v>5000</v>
      </c>
      <c r="K522" s="309">
        <f>SUM(K521)</f>
        <v>5000</v>
      </c>
      <c r="L522" s="309">
        <f>SUM(L521)</f>
        <v>4200</v>
      </c>
      <c r="M522" s="136">
        <f t="shared" si="105"/>
        <v>6300</v>
      </c>
      <c r="N522" s="136">
        <f>SUM(N521)</f>
        <v>5000</v>
      </c>
    </row>
    <row r="523" spans="1:14" x14ac:dyDescent="0.25">
      <c r="A523" s="315">
        <v>550.05999999999995</v>
      </c>
      <c r="B523" s="316" t="s">
        <v>500</v>
      </c>
      <c r="C523" s="326"/>
      <c r="D523" s="327"/>
      <c r="E523" s="327"/>
      <c r="F523" s="327"/>
      <c r="G523" s="226">
        <v>1000</v>
      </c>
      <c r="H523" s="226">
        <v>0</v>
      </c>
      <c r="I523" s="226">
        <v>700</v>
      </c>
      <c r="J523" s="226">
        <v>1000</v>
      </c>
      <c r="K523" s="226">
        <v>1000</v>
      </c>
      <c r="L523" s="226">
        <v>0</v>
      </c>
      <c r="M523" s="204">
        <f t="shared" si="105"/>
        <v>0</v>
      </c>
      <c r="N523" s="204">
        <v>1000</v>
      </c>
    </row>
    <row r="524" spans="1:14" s="86" customFormat="1" x14ac:dyDescent="0.25">
      <c r="A524" s="423" t="s">
        <v>262</v>
      </c>
      <c r="B524" s="424"/>
      <c r="C524" s="158"/>
      <c r="D524" s="167"/>
      <c r="E524" s="167"/>
      <c r="F524" s="167" t="e">
        <f>SUM(#REF!)</f>
        <v>#REF!</v>
      </c>
      <c r="G524" s="309">
        <f t="shared" ref="G524:L524" si="109">SUM(G523:G523)</f>
        <v>1000</v>
      </c>
      <c r="H524" s="309">
        <f t="shared" si="109"/>
        <v>0</v>
      </c>
      <c r="I524" s="309">
        <f t="shared" si="109"/>
        <v>700</v>
      </c>
      <c r="J524" s="309">
        <f t="shared" si="109"/>
        <v>1000</v>
      </c>
      <c r="K524" s="309">
        <f t="shared" si="109"/>
        <v>1000</v>
      </c>
      <c r="L524" s="309">
        <f t="shared" si="109"/>
        <v>0</v>
      </c>
      <c r="M524" s="136">
        <f t="shared" si="105"/>
        <v>0</v>
      </c>
      <c r="N524" s="136">
        <f>SUM(N523)</f>
        <v>1000</v>
      </c>
    </row>
    <row r="525" spans="1:14" x14ac:dyDescent="0.25">
      <c r="A525" s="315">
        <v>560.02</v>
      </c>
      <c r="B525" s="316" t="s">
        <v>798</v>
      </c>
      <c r="C525" s="326"/>
      <c r="D525" s="327"/>
      <c r="E525" s="327"/>
      <c r="F525" s="327">
        <v>0</v>
      </c>
      <c r="G525" s="226">
        <v>0</v>
      </c>
      <c r="H525" s="226">
        <v>171</v>
      </c>
      <c r="I525" s="226">
        <v>200</v>
      </c>
      <c r="J525" s="226">
        <v>0</v>
      </c>
      <c r="K525" s="226">
        <v>0</v>
      </c>
      <c r="L525" s="226">
        <v>1301.3</v>
      </c>
      <c r="M525" s="204">
        <f t="shared" si="105"/>
        <v>1951.9499999999998</v>
      </c>
      <c r="N525" s="204">
        <v>2000</v>
      </c>
    </row>
    <row r="526" spans="1:14" x14ac:dyDescent="0.25">
      <c r="A526" s="315">
        <v>560.09</v>
      </c>
      <c r="B526" s="316" t="s">
        <v>408</v>
      </c>
      <c r="C526" s="326"/>
      <c r="D526" s="327"/>
      <c r="E526" s="327"/>
      <c r="F526" s="327"/>
      <c r="G526" s="226">
        <v>0</v>
      </c>
      <c r="H526" s="226">
        <v>0</v>
      </c>
      <c r="I526" s="226">
        <v>0</v>
      </c>
      <c r="J526" s="226">
        <v>0</v>
      </c>
      <c r="K526" s="226">
        <v>140</v>
      </c>
      <c r="L526" s="226">
        <v>0</v>
      </c>
      <c r="M526" s="204">
        <f t="shared" si="105"/>
        <v>0</v>
      </c>
      <c r="N526" s="204">
        <v>200</v>
      </c>
    </row>
    <row r="527" spans="1:14" x14ac:dyDescent="0.25">
      <c r="A527" s="315">
        <v>560.1</v>
      </c>
      <c r="B527" s="316" t="s">
        <v>151</v>
      </c>
      <c r="C527" s="326">
        <v>542920</v>
      </c>
      <c r="D527" s="327">
        <v>407189</v>
      </c>
      <c r="E527" s="327">
        <v>542920</v>
      </c>
      <c r="F527" s="327">
        <v>300</v>
      </c>
      <c r="G527" s="226">
        <v>400</v>
      </c>
      <c r="H527" s="226">
        <v>0</v>
      </c>
      <c r="I527" s="226">
        <v>400</v>
      </c>
      <c r="J527" s="205">
        <v>400</v>
      </c>
      <c r="K527" s="226">
        <v>400</v>
      </c>
      <c r="L527" s="226">
        <v>0</v>
      </c>
      <c r="M527" s="204">
        <f t="shared" si="105"/>
        <v>0</v>
      </c>
      <c r="N527" s="204">
        <v>400</v>
      </c>
    </row>
    <row r="528" spans="1:14" s="86" customFormat="1" ht="18.75" thickBot="1" x14ac:dyDescent="0.3">
      <c r="A528" s="496" t="s">
        <v>149</v>
      </c>
      <c r="B528" s="341"/>
      <c r="C528" s="497"/>
      <c r="D528" s="498"/>
      <c r="E528" s="498"/>
      <c r="F528" s="498">
        <f t="shared" ref="F528:L528" si="110">SUM(F525:F527)</f>
        <v>300</v>
      </c>
      <c r="G528" s="307">
        <f t="shared" si="110"/>
        <v>400</v>
      </c>
      <c r="H528" s="307">
        <f t="shared" si="110"/>
        <v>171</v>
      </c>
      <c r="I528" s="499">
        <f t="shared" si="110"/>
        <v>600</v>
      </c>
      <c r="J528" s="499">
        <f t="shared" si="110"/>
        <v>400</v>
      </c>
      <c r="K528" s="307">
        <f t="shared" si="110"/>
        <v>540</v>
      </c>
      <c r="L528" s="307">
        <f t="shared" si="110"/>
        <v>1301.3</v>
      </c>
      <c r="M528" s="136">
        <f t="shared" si="105"/>
        <v>1951.9499999999998</v>
      </c>
      <c r="N528" s="136">
        <f>SUM(N525:N527)</f>
        <v>2600</v>
      </c>
    </row>
    <row r="529" spans="1:14" x14ac:dyDescent="0.25">
      <c r="A529" s="315">
        <v>590.01</v>
      </c>
      <c r="B529" s="316" t="s">
        <v>173</v>
      </c>
      <c r="C529" s="329"/>
      <c r="D529" s="327"/>
      <c r="E529" s="326"/>
      <c r="F529" s="327"/>
      <c r="G529" s="226">
        <v>1000</v>
      </c>
      <c r="H529" s="226">
        <v>37</v>
      </c>
      <c r="I529" s="226">
        <v>500</v>
      </c>
      <c r="J529" s="226">
        <v>500</v>
      </c>
      <c r="K529" s="226">
        <v>500</v>
      </c>
      <c r="L529" s="226">
        <v>0</v>
      </c>
      <c r="M529" s="204">
        <f t="shared" si="105"/>
        <v>0</v>
      </c>
      <c r="N529" s="204">
        <v>500</v>
      </c>
    </row>
    <row r="530" spans="1:14" x14ac:dyDescent="0.25">
      <c r="A530" s="315">
        <v>590.02</v>
      </c>
      <c r="B530" s="316" t="s">
        <v>264</v>
      </c>
      <c r="C530" s="326">
        <v>0</v>
      </c>
      <c r="D530" s="326">
        <v>0</v>
      </c>
      <c r="E530" s="326">
        <v>0</v>
      </c>
      <c r="F530" s="342">
        <v>0</v>
      </c>
      <c r="G530" s="226">
        <v>2400</v>
      </c>
      <c r="H530" s="226">
        <v>1323</v>
      </c>
      <c r="I530" s="226">
        <v>2400</v>
      </c>
      <c r="J530" s="226">
        <v>4000</v>
      </c>
      <c r="K530" s="226">
        <v>4000</v>
      </c>
      <c r="L530" s="226">
        <v>0</v>
      </c>
      <c r="M530" s="204">
        <f t="shared" si="105"/>
        <v>0</v>
      </c>
      <c r="N530" s="204">
        <v>4000</v>
      </c>
    </row>
    <row r="531" spans="1:14" s="86" customFormat="1" ht="18.75" thickBot="1" x14ac:dyDescent="0.3">
      <c r="A531" s="500" t="s">
        <v>226</v>
      </c>
      <c r="B531" s="341"/>
      <c r="C531" s="497"/>
      <c r="D531" s="497"/>
      <c r="E531" s="497"/>
      <c r="F531" s="501">
        <f>SUM(F530)</f>
        <v>0</v>
      </c>
      <c r="G531" s="499">
        <f t="shared" ref="G531:L531" si="111">SUM(G529:G530)</f>
        <v>3400</v>
      </c>
      <c r="H531" s="499">
        <f t="shared" si="111"/>
        <v>1360</v>
      </c>
      <c r="I531" s="499">
        <f t="shared" si="111"/>
        <v>2900</v>
      </c>
      <c r="J531" s="499">
        <f t="shared" si="111"/>
        <v>4500</v>
      </c>
      <c r="K531" s="307">
        <f t="shared" si="111"/>
        <v>4500</v>
      </c>
      <c r="L531" s="307">
        <f t="shared" si="111"/>
        <v>0</v>
      </c>
      <c r="M531" s="136">
        <f t="shared" si="105"/>
        <v>0</v>
      </c>
      <c r="N531" s="136">
        <f>SUM(N529:N530)</f>
        <v>4500</v>
      </c>
    </row>
    <row r="532" spans="1:14" x14ac:dyDescent="0.25">
      <c r="A532" s="315">
        <v>620.01</v>
      </c>
      <c r="B532" s="316" t="s">
        <v>157</v>
      </c>
      <c r="C532" s="326">
        <v>4000</v>
      </c>
      <c r="D532" s="391">
        <v>0</v>
      </c>
      <c r="E532" s="391">
        <v>0</v>
      </c>
      <c r="F532" s="327">
        <v>794634</v>
      </c>
      <c r="G532" s="226">
        <v>385194</v>
      </c>
      <c r="H532" s="226">
        <v>288895</v>
      </c>
      <c r="I532" s="226">
        <v>385194</v>
      </c>
      <c r="J532" s="226">
        <f>SUM('Budget Req-Util Admin'!E75)</f>
        <v>1172407</v>
      </c>
      <c r="K532" s="226">
        <v>1172407</v>
      </c>
      <c r="L532" s="226">
        <v>374992</v>
      </c>
      <c r="M532" s="204">
        <f t="shared" si="105"/>
        <v>562488</v>
      </c>
      <c r="N532" s="204">
        <v>465000</v>
      </c>
    </row>
    <row r="533" spans="1:14" x14ac:dyDescent="0.25">
      <c r="A533" s="315">
        <v>620.04999999999995</v>
      </c>
      <c r="B533" s="316" t="s">
        <v>265</v>
      </c>
      <c r="C533" s="326"/>
      <c r="D533" s="391"/>
      <c r="E533" s="391"/>
      <c r="F533" s="327">
        <v>193161</v>
      </c>
      <c r="G533" s="226">
        <v>120000</v>
      </c>
      <c r="H533" s="226">
        <v>90000</v>
      </c>
      <c r="I533" s="226">
        <v>120000</v>
      </c>
      <c r="J533" s="226">
        <f>SUM('Budget Req-Util Admin'!E77)</f>
        <v>300000</v>
      </c>
      <c r="K533" s="226">
        <v>287500</v>
      </c>
      <c r="L533" s="392">
        <v>191666.64</v>
      </c>
      <c r="M533" s="204">
        <f t="shared" si="105"/>
        <v>287499.96000000002</v>
      </c>
      <c r="N533" s="204">
        <v>287500</v>
      </c>
    </row>
    <row r="534" spans="1:14" x14ac:dyDescent="0.25">
      <c r="A534" s="315">
        <v>620.05999999999995</v>
      </c>
      <c r="B534" s="316" t="s">
        <v>43</v>
      </c>
      <c r="C534" s="326"/>
      <c r="D534" s="391"/>
      <c r="E534" s="391"/>
      <c r="F534" s="327"/>
      <c r="G534" s="226"/>
      <c r="H534" s="226"/>
      <c r="I534" s="226"/>
      <c r="J534" s="226"/>
      <c r="K534" s="226">
        <v>0</v>
      </c>
      <c r="L534" s="392">
        <v>70897.149999999994</v>
      </c>
      <c r="M534" s="204">
        <f t="shared" si="105"/>
        <v>106345.72499999999</v>
      </c>
      <c r="N534" s="204">
        <v>450000</v>
      </c>
    </row>
    <row r="535" spans="1:14" x14ac:dyDescent="0.25">
      <c r="A535" s="315">
        <v>620.07000000000005</v>
      </c>
      <c r="B535" s="316" t="s">
        <v>266</v>
      </c>
      <c r="C535" s="326"/>
      <c r="D535" s="391"/>
      <c r="E535" s="391"/>
      <c r="F535" s="327">
        <v>249996</v>
      </c>
      <c r="G535" s="226">
        <v>249996</v>
      </c>
      <c r="H535" s="226">
        <v>187497</v>
      </c>
      <c r="I535" s="226">
        <f>+H535+(20833*3)+4</f>
        <v>250000</v>
      </c>
      <c r="J535" s="226">
        <f>SUM('Budget Req-Util Admin'!E79)</f>
        <v>500000</v>
      </c>
      <c r="K535" s="226">
        <v>300000</v>
      </c>
      <c r="L535" s="392">
        <v>200000</v>
      </c>
      <c r="M535" s="204">
        <f t="shared" si="105"/>
        <v>300000</v>
      </c>
      <c r="N535" s="204">
        <v>300000</v>
      </c>
    </row>
    <row r="536" spans="1:14" x14ac:dyDescent="0.25">
      <c r="A536" s="315">
        <v>620.08000000000004</v>
      </c>
      <c r="B536" s="316" t="s">
        <v>267</v>
      </c>
      <c r="C536" s="326"/>
      <c r="D536" s="391"/>
      <c r="E536" s="391"/>
      <c r="F536" s="327">
        <v>16200</v>
      </c>
      <c r="G536" s="226">
        <v>16200</v>
      </c>
      <c r="H536" s="226">
        <v>12150</v>
      </c>
      <c r="I536" s="226">
        <v>16200</v>
      </c>
      <c r="J536" s="226">
        <v>25000</v>
      </c>
      <c r="K536" s="226">
        <v>25000</v>
      </c>
      <c r="L536" s="392">
        <v>16666.64</v>
      </c>
      <c r="M536" s="204">
        <f t="shared" si="105"/>
        <v>24999.96</v>
      </c>
      <c r="N536" s="204">
        <v>25000</v>
      </c>
    </row>
    <row r="537" spans="1:14" s="86" customFormat="1" ht="18.75" thickBot="1" x14ac:dyDescent="0.3">
      <c r="A537" s="439" t="s">
        <v>271</v>
      </c>
      <c r="B537" s="424"/>
      <c r="C537" s="153"/>
      <c r="D537" s="160"/>
      <c r="E537" s="160"/>
      <c r="F537" s="156">
        <f t="shared" ref="F537:L537" si="112">SUM(F532:F536)</f>
        <v>1253991</v>
      </c>
      <c r="G537" s="309">
        <f t="shared" si="112"/>
        <v>771390</v>
      </c>
      <c r="H537" s="309">
        <f t="shared" si="112"/>
        <v>578542</v>
      </c>
      <c r="I537" s="309">
        <f t="shared" si="112"/>
        <v>771394</v>
      </c>
      <c r="J537" s="422">
        <f t="shared" si="112"/>
        <v>1997407</v>
      </c>
      <c r="K537" s="309">
        <f t="shared" si="112"/>
        <v>1784907</v>
      </c>
      <c r="L537" s="422">
        <f t="shared" si="112"/>
        <v>854222.43</v>
      </c>
      <c r="M537" s="136">
        <f t="shared" si="105"/>
        <v>1281333.645</v>
      </c>
      <c r="N537" s="304">
        <f>SUM(N532:N536)</f>
        <v>1527500</v>
      </c>
    </row>
    <row r="538" spans="1:14" ht="18.75" thickBot="1" x14ac:dyDescent="0.3">
      <c r="A538" s="164" t="s">
        <v>770</v>
      </c>
      <c r="B538" s="165"/>
      <c r="C538" s="149">
        <f>SUM(C495:C532)</f>
        <v>1391004</v>
      </c>
      <c r="D538" s="150">
        <f>SUM(D495:D532)</f>
        <v>1059327</v>
      </c>
      <c r="E538" s="150">
        <f>SUM(E495:E532)</f>
        <v>1432806</v>
      </c>
      <c r="F538" s="150" t="e">
        <f>SUM(F503+F510+F520+F522+F524+F528+#REF!+F531+F537)</f>
        <v>#REF!</v>
      </c>
      <c r="G538" s="151" t="e">
        <f>SUM(G503+G510+G520+G522+G524+G528+#REF!+G531+G537)+#REF!</f>
        <v>#REF!</v>
      </c>
      <c r="H538" s="151" t="e">
        <f>SUM(H503+H510+H520+H522+H524+H528+#REF!+H531+H537)+#REF!</f>
        <v>#REF!</v>
      </c>
      <c r="I538" s="151" t="e">
        <f>SUM(I503+I510+I520+I522+I524+I528+#REF!+I531+I537)+#REF!</f>
        <v>#REF!</v>
      </c>
      <c r="J538" s="151" t="e">
        <f>SUM(J503+J510+J520+J522+J524+J528+#REF!+J531+J537)+#REF!</f>
        <v>#REF!</v>
      </c>
      <c r="K538" s="151">
        <f>SUM(K503+K510+K520+K522+K524+K528+K531+K537)</f>
        <v>2006248</v>
      </c>
      <c r="L538" s="151">
        <f>SUM(L503+L510+L520+L522+L524+L528+L531+L537)</f>
        <v>1002305.23</v>
      </c>
      <c r="M538" s="151">
        <f>SUM(M503+M510+M520+M522+M524+M528+M531+M537)</f>
        <v>1503457.845</v>
      </c>
      <c r="N538" s="151">
        <f>SUM(N503+N510+N520+N522+N524+N528+N531+N537)</f>
        <v>2328784.6137999999</v>
      </c>
    </row>
    <row r="539" spans="1:14" x14ac:dyDescent="0.25">
      <c r="A539" s="166"/>
      <c r="B539" s="111"/>
      <c r="C539" s="153"/>
      <c r="D539" s="167"/>
      <c r="E539" s="167"/>
      <c r="F539" s="185"/>
      <c r="G539" s="246"/>
      <c r="H539" s="43"/>
      <c r="I539" s="43"/>
      <c r="J539" s="43"/>
      <c r="K539" s="111"/>
      <c r="L539" s="93"/>
    </row>
    <row r="540" spans="1:14" x14ac:dyDescent="0.25">
      <c r="A540" s="173"/>
      <c r="B540" s="245"/>
      <c r="C540" s="217"/>
      <c r="D540" s="217"/>
      <c r="E540" s="217"/>
      <c r="F540" s="125"/>
      <c r="G540" s="211"/>
      <c r="H540" s="79"/>
      <c r="I540" s="80" t="str">
        <f>+I2</f>
        <v xml:space="preserve"> Estimated</v>
      </c>
      <c r="J540" s="80" t="s">
        <v>778</v>
      </c>
      <c r="K540" s="80" t="s">
        <v>765</v>
      </c>
      <c r="L540" s="79"/>
      <c r="M540" s="87" t="s">
        <v>655</v>
      </c>
      <c r="N540" s="87" t="s">
        <v>802</v>
      </c>
    </row>
    <row r="541" spans="1:14" x14ac:dyDescent="0.25">
      <c r="A541" s="394" t="s">
        <v>268</v>
      </c>
      <c r="B541" s="395"/>
      <c r="C541" s="122" t="s">
        <v>28</v>
      </c>
      <c r="D541" s="122" t="s">
        <v>26</v>
      </c>
      <c r="E541" s="122" t="s">
        <v>25</v>
      </c>
      <c r="F541" s="122" t="s">
        <v>338</v>
      </c>
      <c r="G541" s="132" t="str">
        <f>+G3</f>
        <v>Budget 2016-17</v>
      </c>
      <c r="H541" s="132" t="str">
        <f>+H3</f>
        <v>Actual 5/31/17</v>
      </c>
      <c r="I541" s="234">
        <f>+I3</f>
        <v>43008</v>
      </c>
      <c r="J541" s="132" t="str">
        <f>+J3</f>
        <v>Budget 2017-18</v>
      </c>
      <c r="K541" s="132" t="s">
        <v>766</v>
      </c>
      <c r="L541" s="132" t="s">
        <v>779</v>
      </c>
      <c r="M541" s="458">
        <v>43373</v>
      </c>
      <c r="N541" s="90" t="s">
        <v>803</v>
      </c>
    </row>
    <row r="542" spans="1:14" x14ac:dyDescent="0.25">
      <c r="A542" s="396" t="s">
        <v>443</v>
      </c>
      <c r="B542" s="397" t="s">
        <v>5</v>
      </c>
      <c r="C542" s="360"/>
      <c r="D542" s="360"/>
      <c r="E542" s="360"/>
      <c r="F542" s="360"/>
      <c r="G542" s="205">
        <v>129365</v>
      </c>
      <c r="H542" s="205">
        <v>100897</v>
      </c>
      <c r="I542" s="340">
        <f>+H542+(12000*4)</f>
        <v>148897</v>
      </c>
      <c r="J542" s="226">
        <f>SUM('Personnel Sched-WWTP'!I19)*1.02</f>
        <v>174367.49040000001</v>
      </c>
      <c r="K542" s="226">
        <v>166147</v>
      </c>
      <c r="L542" s="226">
        <v>102537.76</v>
      </c>
      <c r="M542" s="204">
        <f>(L542/8)*12</f>
        <v>153806.63999999998</v>
      </c>
      <c r="N542" s="204">
        <v>170949</v>
      </c>
    </row>
    <row r="543" spans="1:14" x14ac:dyDescent="0.25">
      <c r="A543" s="353">
        <v>510.03</v>
      </c>
      <c r="B543" s="203" t="s">
        <v>127</v>
      </c>
      <c r="C543" s="326">
        <v>435295</v>
      </c>
      <c r="D543" s="344">
        <v>277400</v>
      </c>
      <c r="E543" s="349">
        <v>416100</v>
      </c>
      <c r="F543" s="327">
        <v>5500</v>
      </c>
      <c r="G543" s="204">
        <v>5500</v>
      </c>
      <c r="H543" s="205">
        <v>7113</v>
      </c>
      <c r="I543" s="340">
        <f>+H543+2000</f>
        <v>9113</v>
      </c>
      <c r="J543" s="204">
        <f>SUM('Budget Req-WWTP'!E11)</f>
        <v>6000</v>
      </c>
      <c r="K543" s="204">
        <v>6000</v>
      </c>
      <c r="L543" s="204">
        <v>0</v>
      </c>
      <c r="M543" s="204">
        <f t="shared" ref="M543:M593" si="113">(L543/8)*12</f>
        <v>0</v>
      </c>
      <c r="N543" s="204">
        <v>0</v>
      </c>
    </row>
    <row r="544" spans="1:14" x14ac:dyDescent="0.25">
      <c r="A544" s="257">
        <v>510.05</v>
      </c>
      <c r="B544" s="203" t="s">
        <v>164</v>
      </c>
      <c r="C544" s="326"/>
      <c r="D544" s="344"/>
      <c r="E544" s="349"/>
      <c r="F544" s="327"/>
      <c r="G544" s="202">
        <v>22991</v>
      </c>
      <c r="H544" s="202">
        <v>12996</v>
      </c>
      <c r="I544" s="340">
        <v>19500</v>
      </c>
      <c r="J544" s="204">
        <f>SUM('Budget Req-WWTP'!E18)</f>
        <v>25801.384878000001</v>
      </c>
      <c r="K544" s="204">
        <v>25475</v>
      </c>
      <c r="L544" s="204">
        <v>16137.56</v>
      </c>
      <c r="M544" s="204">
        <f t="shared" si="113"/>
        <v>24206.34</v>
      </c>
      <c r="N544" s="204">
        <v>33623</v>
      </c>
    </row>
    <row r="545" spans="1:14" x14ac:dyDescent="0.25">
      <c r="A545" s="315">
        <v>510.06</v>
      </c>
      <c r="B545" s="316" t="s">
        <v>17</v>
      </c>
      <c r="C545" s="326"/>
      <c r="D545" s="327"/>
      <c r="E545" s="326"/>
      <c r="F545" s="327"/>
      <c r="G545" s="226">
        <v>9896</v>
      </c>
      <c r="H545" s="205">
        <v>7607</v>
      </c>
      <c r="I545" s="340">
        <f>+I542*0.08</f>
        <v>11911.76</v>
      </c>
      <c r="J545" s="226">
        <f>SUM('Budget Req-WWTP'!E20)</f>
        <v>13077.561780000002</v>
      </c>
      <c r="K545" s="226">
        <v>12461</v>
      </c>
      <c r="L545" s="226">
        <v>6287.63</v>
      </c>
      <c r="M545" s="204">
        <f t="shared" si="113"/>
        <v>9431.4449999999997</v>
      </c>
      <c r="N545" s="204">
        <f>N542*0.0765</f>
        <v>13077.5985</v>
      </c>
    </row>
    <row r="546" spans="1:14" x14ac:dyDescent="0.25">
      <c r="A546" s="315">
        <v>510.07</v>
      </c>
      <c r="B546" s="316" t="s">
        <v>130</v>
      </c>
      <c r="C546" s="326"/>
      <c r="D546" s="327"/>
      <c r="E546" s="326"/>
      <c r="F546" s="327"/>
      <c r="G546" s="226">
        <v>6585</v>
      </c>
      <c r="H546" s="205">
        <v>4204</v>
      </c>
      <c r="I546" s="340">
        <f>+I542*0.0502</f>
        <v>7474.6293999999998</v>
      </c>
      <c r="J546" s="226">
        <f>SUM('Budget Req-WWTP'!E22)</f>
        <v>7932.0113280000005</v>
      </c>
      <c r="K546" s="226">
        <v>7200</v>
      </c>
      <c r="L546" s="226">
        <v>3586.97</v>
      </c>
      <c r="M546" s="204">
        <f t="shared" si="113"/>
        <v>5380.4549999999999</v>
      </c>
      <c r="N546" s="204">
        <f>N542*0.0464</f>
        <v>7932.0335999999998</v>
      </c>
    </row>
    <row r="547" spans="1:14" x14ac:dyDescent="0.25">
      <c r="A547" s="315">
        <v>510.08</v>
      </c>
      <c r="B547" s="316" t="s">
        <v>278</v>
      </c>
      <c r="C547" s="326"/>
      <c r="D547" s="327"/>
      <c r="E547" s="326"/>
      <c r="F547" s="327"/>
      <c r="G547" s="226">
        <v>2715</v>
      </c>
      <c r="H547" s="205">
        <v>1201</v>
      </c>
      <c r="I547" s="340">
        <v>2500</v>
      </c>
      <c r="J547" s="226">
        <f>SUM('Budget Req-WWTP'!E24)</f>
        <v>3768.0472778400003</v>
      </c>
      <c r="K547" s="226">
        <v>2630</v>
      </c>
      <c r="L547" s="226">
        <v>2681.1</v>
      </c>
      <c r="M547" s="204">
        <f t="shared" si="113"/>
        <v>4021.6499999999996</v>
      </c>
      <c r="N547" s="204">
        <v>5000</v>
      </c>
    </row>
    <row r="548" spans="1:14" x14ac:dyDescent="0.25">
      <c r="A548" s="315">
        <v>510.11</v>
      </c>
      <c r="B548" s="316" t="s">
        <v>780</v>
      </c>
      <c r="C548" s="326"/>
      <c r="D548" s="327"/>
      <c r="E548" s="326"/>
      <c r="F548" s="327"/>
      <c r="G548" s="226">
        <v>0</v>
      </c>
      <c r="H548" s="205">
        <v>300</v>
      </c>
      <c r="I548" s="340">
        <v>300</v>
      </c>
      <c r="J548" s="226">
        <v>0</v>
      </c>
      <c r="K548" s="226">
        <v>0</v>
      </c>
      <c r="L548" s="226">
        <v>0</v>
      </c>
      <c r="M548" s="204">
        <f t="shared" si="113"/>
        <v>0</v>
      </c>
      <c r="N548" s="204">
        <v>800</v>
      </c>
    </row>
    <row r="549" spans="1:14" x14ac:dyDescent="0.25">
      <c r="A549" s="315">
        <v>510.12</v>
      </c>
      <c r="B549" s="316" t="s">
        <v>429</v>
      </c>
      <c r="C549" s="326"/>
      <c r="D549" s="327"/>
      <c r="E549" s="326"/>
      <c r="F549" s="327"/>
      <c r="G549" s="226">
        <v>1350</v>
      </c>
      <c r="H549" s="205">
        <v>0</v>
      </c>
      <c r="I549" s="340">
        <v>1350</v>
      </c>
      <c r="J549" s="226">
        <v>1650</v>
      </c>
      <c r="K549" s="226">
        <v>1800</v>
      </c>
      <c r="L549" s="226">
        <v>0</v>
      </c>
      <c r="M549" s="204">
        <f t="shared" si="113"/>
        <v>0</v>
      </c>
      <c r="N549" s="204">
        <v>1650</v>
      </c>
    </row>
    <row r="550" spans="1:14" s="86" customFormat="1" x14ac:dyDescent="0.25">
      <c r="A550" s="502" t="s">
        <v>178</v>
      </c>
      <c r="B550" s="424"/>
      <c r="C550" s="158"/>
      <c r="D550" s="167"/>
      <c r="E550" s="158"/>
      <c r="F550" s="167">
        <f>SUM(F543)</f>
        <v>5500</v>
      </c>
      <c r="G550" s="309">
        <f t="shared" ref="G550:L550" si="114">SUM(G542:G549)</f>
        <v>178402</v>
      </c>
      <c r="H550" s="503">
        <f t="shared" si="114"/>
        <v>134318</v>
      </c>
      <c r="I550" s="309">
        <f t="shared" si="114"/>
        <v>201046.38940000001</v>
      </c>
      <c r="J550" s="309">
        <f t="shared" si="114"/>
        <v>232596.49566384</v>
      </c>
      <c r="K550" s="309">
        <f t="shared" si="114"/>
        <v>221713</v>
      </c>
      <c r="L550" s="309">
        <f t="shared" si="114"/>
        <v>131231.01999999999</v>
      </c>
      <c r="M550" s="136">
        <f t="shared" si="113"/>
        <v>196846.52999999997</v>
      </c>
      <c r="N550" s="136">
        <f>SUM(N542:N549)</f>
        <v>233031.63209999999</v>
      </c>
    </row>
    <row r="551" spans="1:14" x14ac:dyDescent="0.25">
      <c r="A551" s="315">
        <v>520.01</v>
      </c>
      <c r="B551" s="316" t="s">
        <v>133</v>
      </c>
      <c r="C551" s="326"/>
      <c r="D551" s="327"/>
      <c r="E551" s="326"/>
      <c r="F551" s="327"/>
      <c r="G551" s="226">
        <v>1200</v>
      </c>
      <c r="H551" s="226">
        <v>1331</v>
      </c>
      <c r="I551" s="226">
        <v>1350</v>
      </c>
      <c r="J551" s="226">
        <v>1300</v>
      </c>
      <c r="K551" s="226">
        <v>1300</v>
      </c>
      <c r="L551" s="226">
        <v>372.55</v>
      </c>
      <c r="M551" s="204">
        <f t="shared" si="113"/>
        <v>558.82500000000005</v>
      </c>
      <c r="N551" s="204">
        <v>3500</v>
      </c>
    </row>
    <row r="552" spans="1:14" x14ac:dyDescent="0.25">
      <c r="A552" s="315">
        <v>520.03</v>
      </c>
      <c r="B552" s="316" t="s">
        <v>872</v>
      </c>
      <c r="C552" s="326"/>
      <c r="D552" s="327"/>
      <c r="E552" s="326"/>
      <c r="F552" s="327"/>
      <c r="G552" s="226">
        <v>0</v>
      </c>
      <c r="H552" s="226">
        <v>53</v>
      </c>
      <c r="I552" s="226">
        <v>120</v>
      </c>
      <c r="J552" s="226">
        <v>120</v>
      </c>
      <c r="K552" s="226">
        <v>120</v>
      </c>
      <c r="L552" s="226">
        <v>90</v>
      </c>
      <c r="M552" s="204">
        <f t="shared" si="113"/>
        <v>135</v>
      </c>
      <c r="N552" s="204">
        <v>200</v>
      </c>
    </row>
    <row r="553" spans="1:14" x14ac:dyDescent="0.25">
      <c r="A553" s="315">
        <v>520.04</v>
      </c>
      <c r="B553" s="316" t="s">
        <v>433</v>
      </c>
      <c r="C553" s="326"/>
      <c r="D553" s="327"/>
      <c r="E553" s="326"/>
      <c r="F553" s="327"/>
      <c r="G553" s="226">
        <v>4300</v>
      </c>
      <c r="H553" s="226">
        <v>2497</v>
      </c>
      <c r="I553" s="226">
        <v>4700</v>
      </c>
      <c r="J553" s="226">
        <f>SUM('Budget Req-WWTP'!E34)</f>
        <v>4500</v>
      </c>
      <c r="K553" s="226">
        <v>4500</v>
      </c>
      <c r="L553" s="226">
        <v>2852.91</v>
      </c>
      <c r="M553" s="204">
        <f t="shared" si="113"/>
        <v>4279.3649999999998</v>
      </c>
      <c r="N553" s="204">
        <v>4500</v>
      </c>
    </row>
    <row r="554" spans="1:14" x14ac:dyDescent="0.25">
      <c r="A554" s="315">
        <v>520.05999999999995</v>
      </c>
      <c r="B554" s="316" t="s">
        <v>199</v>
      </c>
      <c r="C554" s="326"/>
      <c r="D554" s="327"/>
      <c r="E554" s="326"/>
      <c r="F554" s="327"/>
      <c r="G554" s="226">
        <v>2400</v>
      </c>
      <c r="H554" s="226">
        <v>1895</v>
      </c>
      <c r="I554" s="226">
        <v>3000</v>
      </c>
      <c r="J554" s="226">
        <v>3000</v>
      </c>
      <c r="K554" s="226">
        <v>3000</v>
      </c>
      <c r="L554" s="226">
        <v>2443.38</v>
      </c>
      <c r="M554" s="204">
        <f t="shared" si="113"/>
        <v>3665.07</v>
      </c>
      <c r="N554" s="204">
        <v>4000</v>
      </c>
    </row>
    <row r="555" spans="1:14" x14ac:dyDescent="0.25">
      <c r="A555" s="315">
        <v>520.07000000000005</v>
      </c>
      <c r="B555" s="316" t="s">
        <v>434</v>
      </c>
      <c r="C555" s="326"/>
      <c r="D555" s="344"/>
      <c r="E555" s="349"/>
      <c r="F555" s="327"/>
      <c r="G555" s="204">
        <v>800</v>
      </c>
      <c r="H555" s="204">
        <v>312</v>
      </c>
      <c r="I555" s="226">
        <v>800</v>
      </c>
      <c r="J555" s="204">
        <v>2500</v>
      </c>
      <c r="K555" s="204">
        <v>2500</v>
      </c>
      <c r="L555" s="204">
        <v>872.64</v>
      </c>
      <c r="M555" s="204">
        <f t="shared" si="113"/>
        <v>1308.96</v>
      </c>
      <c r="N555" s="204">
        <v>4000</v>
      </c>
    </row>
    <row r="556" spans="1:14" x14ac:dyDescent="0.25">
      <c r="A556" s="315">
        <v>520.08000000000004</v>
      </c>
      <c r="B556" s="316" t="s">
        <v>435</v>
      </c>
      <c r="C556" s="326"/>
      <c r="D556" s="344"/>
      <c r="E556" s="349"/>
      <c r="F556" s="327"/>
      <c r="G556" s="204">
        <v>1200</v>
      </c>
      <c r="H556" s="204">
        <v>1296</v>
      </c>
      <c r="I556" s="226">
        <v>1500</v>
      </c>
      <c r="J556" s="204">
        <v>5000</v>
      </c>
      <c r="K556" s="204">
        <v>5000</v>
      </c>
      <c r="L556" s="204">
        <v>695.38</v>
      </c>
      <c r="M556" s="204">
        <f t="shared" si="113"/>
        <v>1043.07</v>
      </c>
      <c r="N556" s="204">
        <v>5000</v>
      </c>
    </row>
    <row r="557" spans="1:14" x14ac:dyDescent="0.25">
      <c r="A557" s="315">
        <v>520.09</v>
      </c>
      <c r="B557" s="316" t="s">
        <v>180</v>
      </c>
      <c r="C557" s="326"/>
      <c r="D557" s="344"/>
      <c r="E557" s="349"/>
      <c r="F557" s="327"/>
      <c r="G557" s="204">
        <v>45000</v>
      </c>
      <c r="H557" s="204">
        <v>27640</v>
      </c>
      <c r="I557" s="226">
        <v>42000</v>
      </c>
      <c r="J557" s="226">
        <v>40000</v>
      </c>
      <c r="K557" s="226">
        <v>40000</v>
      </c>
      <c r="L557" s="226">
        <v>53106.39</v>
      </c>
      <c r="M557" s="204">
        <f t="shared" si="113"/>
        <v>79659.584999999992</v>
      </c>
      <c r="N557" s="204">
        <v>40000</v>
      </c>
    </row>
    <row r="558" spans="1:14" x14ac:dyDescent="0.25">
      <c r="A558" s="257">
        <v>520.1</v>
      </c>
      <c r="B558" s="203" t="s">
        <v>673</v>
      </c>
      <c r="C558" s="326"/>
      <c r="D558" s="344"/>
      <c r="E558" s="349"/>
      <c r="F558" s="327"/>
      <c r="G558" s="204">
        <v>1500</v>
      </c>
      <c r="H558" s="204">
        <v>2932</v>
      </c>
      <c r="I558" s="226">
        <v>3000</v>
      </c>
      <c r="J558" s="204">
        <v>3000</v>
      </c>
      <c r="K558" s="204">
        <v>3000</v>
      </c>
      <c r="L558" s="204">
        <v>3402.96</v>
      </c>
      <c r="M558" s="204">
        <f t="shared" si="113"/>
        <v>5104.4400000000005</v>
      </c>
      <c r="N558" s="204">
        <v>10000</v>
      </c>
    </row>
    <row r="559" spans="1:14" x14ac:dyDescent="0.25">
      <c r="A559" s="257">
        <v>520.12</v>
      </c>
      <c r="B559" s="203" t="s">
        <v>204</v>
      </c>
      <c r="C559" s="326"/>
      <c r="D559" s="344"/>
      <c r="E559" s="349"/>
      <c r="F559" s="327"/>
      <c r="G559" s="204">
        <v>800</v>
      </c>
      <c r="H559" s="204">
        <v>719</v>
      </c>
      <c r="I559" s="226">
        <v>850</v>
      </c>
      <c r="J559" s="204">
        <v>1200</v>
      </c>
      <c r="K559" s="204">
        <v>1200</v>
      </c>
      <c r="L559" s="204">
        <v>2089.85</v>
      </c>
      <c r="M559" s="204">
        <f t="shared" si="113"/>
        <v>3134.7749999999996</v>
      </c>
      <c r="N559" s="204">
        <v>2500</v>
      </c>
    </row>
    <row r="560" spans="1:14" x14ac:dyDescent="0.25">
      <c r="A560" s="257"/>
      <c r="B560" s="203" t="s">
        <v>873</v>
      </c>
      <c r="C560" s="326"/>
      <c r="D560" s="344"/>
      <c r="E560" s="349"/>
      <c r="F560" s="327"/>
      <c r="G560" s="204"/>
      <c r="H560" s="204"/>
      <c r="I560" s="226"/>
      <c r="J560" s="204"/>
      <c r="K560" s="204"/>
      <c r="L560" s="204"/>
      <c r="M560" s="204"/>
      <c r="N560" s="204">
        <v>25000</v>
      </c>
    </row>
    <row r="561" spans="1:14" s="86" customFormat="1" x14ac:dyDescent="0.25">
      <c r="A561" s="435" t="s">
        <v>137</v>
      </c>
      <c r="B561" s="436"/>
      <c r="C561" s="361"/>
      <c r="D561" s="346"/>
      <c r="E561" s="437"/>
      <c r="F561" s="343"/>
      <c r="G561" s="136">
        <f t="shared" ref="G561:L561" si="115">SUM(G551:G559)</f>
        <v>57200</v>
      </c>
      <c r="H561" s="136">
        <f t="shared" si="115"/>
        <v>38675</v>
      </c>
      <c r="I561" s="136">
        <f t="shared" si="115"/>
        <v>57320</v>
      </c>
      <c r="J561" s="136">
        <f t="shared" si="115"/>
        <v>60620</v>
      </c>
      <c r="K561" s="136">
        <f t="shared" si="115"/>
        <v>60620</v>
      </c>
      <c r="L561" s="136">
        <f t="shared" si="115"/>
        <v>65926.06</v>
      </c>
      <c r="M561" s="136">
        <f t="shared" si="113"/>
        <v>98889.09</v>
      </c>
      <c r="N561" s="136">
        <f>SUM(N551:N560)</f>
        <v>98700</v>
      </c>
    </row>
    <row r="562" spans="1:14" x14ac:dyDescent="0.25">
      <c r="A562" s="257">
        <v>530.01</v>
      </c>
      <c r="B562" s="203" t="s">
        <v>171</v>
      </c>
      <c r="C562" s="326"/>
      <c r="D562" s="344"/>
      <c r="E562" s="349"/>
      <c r="F562" s="327"/>
      <c r="G562" s="204">
        <v>3400</v>
      </c>
      <c r="H562" s="204">
        <v>2895</v>
      </c>
      <c r="I562" s="226">
        <v>4800</v>
      </c>
      <c r="J562" s="204">
        <v>5000</v>
      </c>
      <c r="K562" s="204">
        <v>5000</v>
      </c>
      <c r="L562" s="204">
        <v>2274.6</v>
      </c>
      <c r="M562" s="204">
        <f t="shared" si="113"/>
        <v>3411.8999999999996</v>
      </c>
      <c r="N562" s="204">
        <v>5000</v>
      </c>
    </row>
    <row r="563" spans="1:14" x14ac:dyDescent="0.25">
      <c r="A563" s="257">
        <v>530.02</v>
      </c>
      <c r="B563" s="203" t="s">
        <v>436</v>
      </c>
      <c r="C563" s="326"/>
      <c r="D563" s="344"/>
      <c r="E563" s="349"/>
      <c r="F563" s="327"/>
      <c r="G563" s="204">
        <v>130000</v>
      </c>
      <c r="H563" s="204">
        <v>105794</v>
      </c>
      <c r="I563" s="226">
        <v>145000</v>
      </c>
      <c r="J563" s="204">
        <f>SUM('Budget Req-WWTP'!E53)</f>
        <v>150000</v>
      </c>
      <c r="K563" s="204">
        <v>150000</v>
      </c>
      <c r="L563" s="204">
        <v>80629.63</v>
      </c>
      <c r="M563" s="204">
        <f t="shared" si="113"/>
        <v>120944.44500000001</v>
      </c>
      <c r="N563" s="204">
        <v>100000</v>
      </c>
    </row>
    <row r="564" spans="1:14" x14ac:dyDescent="0.25">
      <c r="A564" s="257">
        <v>530.04</v>
      </c>
      <c r="B564" s="203" t="s">
        <v>140</v>
      </c>
      <c r="C564" s="326"/>
      <c r="D564" s="344"/>
      <c r="E564" s="349"/>
      <c r="F564" s="327"/>
      <c r="G564" s="204">
        <v>35000</v>
      </c>
      <c r="H564" s="204">
        <v>26130</v>
      </c>
      <c r="I564" s="226">
        <v>35000</v>
      </c>
      <c r="J564" s="204">
        <f>SUM('Budget Req-WWTP'!E54)</f>
        <v>45000</v>
      </c>
      <c r="K564" s="204">
        <v>45000</v>
      </c>
      <c r="L564" s="204">
        <v>920</v>
      </c>
      <c r="M564" s="204">
        <f t="shared" si="113"/>
        <v>1380</v>
      </c>
      <c r="N564" s="204">
        <v>5000</v>
      </c>
    </row>
    <row r="565" spans="1:14" x14ac:dyDescent="0.25">
      <c r="A565" s="257">
        <v>530.04999999999995</v>
      </c>
      <c r="B565" s="203" t="s">
        <v>18</v>
      </c>
      <c r="C565" s="326"/>
      <c r="D565" s="344"/>
      <c r="E565" s="349"/>
      <c r="F565" s="327"/>
      <c r="G565" s="204">
        <v>100</v>
      </c>
      <c r="H565" s="204">
        <v>0</v>
      </c>
      <c r="I565" s="226">
        <v>100</v>
      </c>
      <c r="J565" s="204">
        <v>100</v>
      </c>
      <c r="K565" s="204">
        <v>100</v>
      </c>
      <c r="L565" s="204">
        <v>0</v>
      </c>
      <c r="M565" s="204">
        <f t="shared" si="113"/>
        <v>0</v>
      </c>
      <c r="N565" s="204">
        <v>100</v>
      </c>
    </row>
    <row r="566" spans="1:14" x14ac:dyDescent="0.25">
      <c r="A566" s="257">
        <v>530.05999999999995</v>
      </c>
      <c r="B566" s="203" t="s">
        <v>141</v>
      </c>
      <c r="C566" s="326"/>
      <c r="D566" s="344"/>
      <c r="E566" s="349"/>
      <c r="F566" s="327"/>
      <c r="G566" s="204">
        <v>400</v>
      </c>
      <c r="H566" s="204">
        <v>422</v>
      </c>
      <c r="I566" s="226">
        <v>450</v>
      </c>
      <c r="J566" s="204">
        <v>1000</v>
      </c>
      <c r="K566" s="204">
        <v>1000</v>
      </c>
      <c r="L566" s="204">
        <v>230.17</v>
      </c>
      <c r="M566" s="204">
        <f t="shared" si="113"/>
        <v>345.255</v>
      </c>
      <c r="N566" s="204">
        <v>1000</v>
      </c>
    </row>
    <row r="567" spans="1:14" x14ac:dyDescent="0.25">
      <c r="A567" s="257">
        <v>530.11</v>
      </c>
      <c r="B567" s="203" t="s">
        <v>2</v>
      </c>
      <c r="C567" s="349">
        <v>37000</v>
      </c>
      <c r="D567" s="344">
        <v>43023</v>
      </c>
      <c r="E567" s="349">
        <v>43023</v>
      </c>
      <c r="F567" s="344">
        <v>205000</v>
      </c>
      <c r="G567" s="204">
        <v>160000</v>
      </c>
      <c r="H567" s="204">
        <v>100552</v>
      </c>
      <c r="I567" s="204">
        <f>112863+36800</f>
        <v>149663</v>
      </c>
      <c r="J567" s="204">
        <f>SUM('Budget Req-WWTP'!E59)</f>
        <v>220000</v>
      </c>
      <c r="K567" s="204">
        <v>220000</v>
      </c>
      <c r="L567" s="204">
        <v>94323.27</v>
      </c>
      <c r="M567" s="204">
        <f t="shared" si="113"/>
        <v>141484.905</v>
      </c>
      <c r="N567" s="204">
        <v>220000</v>
      </c>
    </row>
    <row r="568" spans="1:14" x14ac:dyDescent="0.25">
      <c r="A568" s="257">
        <v>530.13</v>
      </c>
      <c r="B568" s="203" t="s">
        <v>260</v>
      </c>
      <c r="C568" s="349"/>
      <c r="D568" s="344"/>
      <c r="E568" s="349"/>
      <c r="F568" s="344"/>
      <c r="G568" s="204">
        <v>0</v>
      </c>
      <c r="H568" s="204">
        <v>260</v>
      </c>
      <c r="I568" s="204">
        <v>300</v>
      </c>
      <c r="J568" s="204">
        <v>300</v>
      </c>
      <c r="K568" s="204">
        <v>300</v>
      </c>
      <c r="L568" s="204">
        <v>2412.54</v>
      </c>
      <c r="M568" s="204">
        <f t="shared" si="113"/>
        <v>3618.81</v>
      </c>
      <c r="N568" s="204">
        <v>45000</v>
      </c>
    </row>
    <row r="569" spans="1:14" ht="18" customHeight="1" x14ac:dyDescent="0.25">
      <c r="A569" s="257">
        <v>530.16999999999996</v>
      </c>
      <c r="B569" s="203" t="s">
        <v>675</v>
      </c>
      <c r="C569" s="349"/>
      <c r="D569" s="344"/>
      <c r="E569" s="349"/>
      <c r="F569" s="344"/>
      <c r="G569" s="204">
        <v>0</v>
      </c>
      <c r="H569" s="204">
        <v>5367</v>
      </c>
      <c r="I569" s="204">
        <v>5400</v>
      </c>
      <c r="J569" s="204">
        <v>5400</v>
      </c>
      <c r="K569" s="204">
        <v>5400</v>
      </c>
      <c r="L569" s="204">
        <v>16514.650000000001</v>
      </c>
      <c r="M569" s="204">
        <f t="shared" si="113"/>
        <v>24771.975000000002</v>
      </c>
      <c r="N569" s="204">
        <v>75000</v>
      </c>
    </row>
    <row r="570" spans="1:14" s="242" customFormat="1" x14ac:dyDescent="0.25">
      <c r="A570" s="315">
        <v>530.20000000000005</v>
      </c>
      <c r="B570" s="316" t="s">
        <v>261</v>
      </c>
      <c r="C570" s="326">
        <v>250000</v>
      </c>
      <c r="D570" s="327">
        <v>160132</v>
      </c>
      <c r="E570" s="326">
        <v>240200</v>
      </c>
      <c r="F570" s="327">
        <v>8540</v>
      </c>
      <c r="G570" s="226">
        <v>22455</v>
      </c>
      <c r="H570" s="226">
        <v>11771</v>
      </c>
      <c r="I570" s="226">
        <v>22455</v>
      </c>
      <c r="J570" s="226">
        <f>SUM('Budget Req-WWTP'!E62)</f>
        <v>10500</v>
      </c>
      <c r="K570" s="226">
        <v>10500</v>
      </c>
      <c r="L570" s="226">
        <v>15882</v>
      </c>
      <c r="M570" s="226">
        <f t="shared" si="113"/>
        <v>23823</v>
      </c>
      <c r="N570" s="226">
        <v>50000</v>
      </c>
    </row>
    <row r="571" spans="1:14" s="86" customFormat="1" x14ac:dyDescent="0.25">
      <c r="A571" s="431" t="s">
        <v>138</v>
      </c>
      <c r="B571" s="432"/>
      <c r="C571" s="113"/>
      <c r="D571" s="167"/>
      <c r="E571" s="158"/>
      <c r="F571" s="101">
        <f>SUM(F567:F570)</f>
        <v>213540</v>
      </c>
      <c r="G571" s="314">
        <f t="shared" ref="G571:L571" si="116">SUM(G562:G570)</f>
        <v>351355</v>
      </c>
      <c r="H571" s="314">
        <f t="shared" si="116"/>
        <v>253191</v>
      </c>
      <c r="I571" s="314">
        <f t="shared" si="116"/>
        <v>363168</v>
      </c>
      <c r="J571" s="314">
        <f t="shared" si="116"/>
        <v>437300</v>
      </c>
      <c r="K571" s="314">
        <f t="shared" si="116"/>
        <v>437300</v>
      </c>
      <c r="L571" s="314">
        <f t="shared" si="116"/>
        <v>213186.86000000002</v>
      </c>
      <c r="M571" s="136">
        <f t="shared" si="113"/>
        <v>319780.29000000004</v>
      </c>
      <c r="N571" s="136">
        <f>SUM(N562:N570)</f>
        <v>501100</v>
      </c>
    </row>
    <row r="572" spans="1:14" x14ac:dyDescent="0.25">
      <c r="A572" s="257">
        <v>540.01</v>
      </c>
      <c r="B572" s="203" t="s">
        <v>153</v>
      </c>
      <c r="C572" s="349"/>
      <c r="D572" s="327"/>
      <c r="E572" s="326"/>
      <c r="F572" s="344">
        <v>0</v>
      </c>
      <c r="G572" s="204">
        <v>5000</v>
      </c>
      <c r="H572" s="204">
        <v>356</v>
      </c>
      <c r="I572" s="204">
        <v>5000</v>
      </c>
      <c r="J572" s="204">
        <f>SUM('Budget Req-WWTP'!E64)</f>
        <v>10000</v>
      </c>
      <c r="K572" s="204">
        <v>10000</v>
      </c>
      <c r="L572" s="204">
        <v>0</v>
      </c>
      <c r="M572" s="204">
        <f t="shared" si="113"/>
        <v>0</v>
      </c>
      <c r="N572" s="204">
        <v>10000</v>
      </c>
    </row>
    <row r="573" spans="1:14" x14ac:dyDescent="0.25">
      <c r="A573" s="257">
        <v>540.04</v>
      </c>
      <c r="B573" s="203" t="s">
        <v>269</v>
      </c>
      <c r="C573" s="326">
        <v>181512</v>
      </c>
      <c r="D573" s="327">
        <v>121008</v>
      </c>
      <c r="E573" s="326">
        <v>181512</v>
      </c>
      <c r="F573" s="344">
        <v>40000</v>
      </c>
      <c r="G573" s="204">
        <v>2000</v>
      </c>
      <c r="H573" s="226">
        <v>195</v>
      </c>
      <c r="I573" s="204">
        <v>2000</v>
      </c>
      <c r="J573" s="204">
        <f>SUM('Budget Req-WWTP'!E65)</f>
        <v>2000</v>
      </c>
      <c r="K573" s="204">
        <v>2000</v>
      </c>
      <c r="L573" s="204">
        <v>29600</v>
      </c>
      <c r="M573" s="204">
        <f t="shared" si="113"/>
        <v>44400</v>
      </c>
      <c r="N573" s="204">
        <v>2000</v>
      </c>
    </row>
    <row r="574" spans="1:14" s="86" customFormat="1" ht="18" customHeight="1" x14ac:dyDescent="0.25">
      <c r="A574" s="431" t="s">
        <v>219</v>
      </c>
      <c r="B574" s="432"/>
      <c r="C574" s="158"/>
      <c r="D574" s="167"/>
      <c r="E574" s="158"/>
      <c r="F574" s="101">
        <f t="shared" ref="F574:L574" si="117">SUM(F572:F573)</f>
        <v>40000</v>
      </c>
      <c r="G574" s="314">
        <f t="shared" si="117"/>
        <v>7000</v>
      </c>
      <c r="H574" s="314">
        <f t="shared" si="117"/>
        <v>551</v>
      </c>
      <c r="I574" s="314">
        <f t="shared" si="117"/>
        <v>7000</v>
      </c>
      <c r="J574" s="314">
        <f t="shared" si="117"/>
        <v>12000</v>
      </c>
      <c r="K574" s="314">
        <f t="shared" si="117"/>
        <v>12000</v>
      </c>
      <c r="L574" s="314">
        <f t="shared" si="117"/>
        <v>29600</v>
      </c>
      <c r="M574" s="136">
        <f t="shared" si="113"/>
        <v>44400</v>
      </c>
      <c r="N574" s="136">
        <f>SUM(N572:N573)</f>
        <v>12000</v>
      </c>
    </row>
    <row r="575" spans="1:14" x14ac:dyDescent="0.25">
      <c r="A575" s="257">
        <v>550.01</v>
      </c>
      <c r="B575" s="203" t="s">
        <v>173</v>
      </c>
      <c r="C575" s="326"/>
      <c r="D575" s="327"/>
      <c r="E575" s="326"/>
      <c r="F575" s="344"/>
      <c r="G575" s="226">
        <v>100</v>
      </c>
      <c r="H575" s="226">
        <v>0</v>
      </c>
      <c r="I575" s="204">
        <v>100</v>
      </c>
      <c r="J575" s="204">
        <v>2500</v>
      </c>
      <c r="K575" s="204">
        <v>2500</v>
      </c>
      <c r="L575" s="204">
        <v>0</v>
      </c>
      <c r="M575" s="204">
        <f t="shared" si="113"/>
        <v>0</v>
      </c>
      <c r="N575" s="204">
        <v>2500</v>
      </c>
    </row>
    <row r="576" spans="1:14" x14ac:dyDescent="0.25">
      <c r="A576" s="315">
        <v>550.02</v>
      </c>
      <c r="B576" s="316" t="s">
        <v>264</v>
      </c>
      <c r="C576" s="349">
        <v>100</v>
      </c>
      <c r="D576" s="327">
        <v>5763</v>
      </c>
      <c r="E576" s="349">
        <v>8650</v>
      </c>
      <c r="F576" s="327">
        <v>10000</v>
      </c>
      <c r="G576" s="226">
        <v>40000</v>
      </c>
      <c r="H576" s="226">
        <v>81872</v>
      </c>
      <c r="I576" s="226">
        <v>81872</v>
      </c>
      <c r="J576" s="204">
        <f>SUM('Budget Req-WWTP'!E68)</f>
        <v>75000</v>
      </c>
      <c r="K576" s="204">
        <v>75000</v>
      </c>
      <c r="L576" s="204">
        <v>107380.69</v>
      </c>
      <c r="M576" s="204">
        <f t="shared" si="113"/>
        <v>161071.035</v>
      </c>
      <c r="N576" s="204">
        <v>75000</v>
      </c>
    </row>
    <row r="577" spans="1:14" x14ac:dyDescent="0.25">
      <c r="A577" s="257">
        <v>550.03</v>
      </c>
      <c r="B577" s="203" t="s">
        <v>438</v>
      </c>
      <c r="C577" s="349"/>
      <c r="D577" s="327"/>
      <c r="E577" s="349"/>
      <c r="F577" s="327"/>
      <c r="G577" s="226">
        <v>750</v>
      </c>
      <c r="H577" s="226">
        <v>0</v>
      </c>
      <c r="I577" s="226">
        <v>750</v>
      </c>
      <c r="J577" s="204">
        <v>750</v>
      </c>
      <c r="K577" s="204">
        <v>750</v>
      </c>
      <c r="L577" s="204">
        <v>0</v>
      </c>
      <c r="M577" s="204">
        <f t="shared" si="113"/>
        <v>0</v>
      </c>
      <c r="N577" s="204">
        <v>750</v>
      </c>
    </row>
    <row r="578" spans="1:14" x14ac:dyDescent="0.25">
      <c r="A578" s="257">
        <v>550.04</v>
      </c>
      <c r="B578" s="203" t="s">
        <v>824</v>
      </c>
      <c r="C578" s="349"/>
      <c r="D578" s="327"/>
      <c r="E578" s="349"/>
      <c r="F578" s="327"/>
      <c r="G578" s="226">
        <v>2500</v>
      </c>
      <c r="H578" s="226">
        <v>231</v>
      </c>
      <c r="I578" s="226">
        <v>2500</v>
      </c>
      <c r="J578" s="204">
        <v>2500</v>
      </c>
      <c r="K578" s="204">
        <v>2500</v>
      </c>
      <c r="L578" s="204">
        <v>265.64</v>
      </c>
      <c r="M578" s="204">
        <f t="shared" si="113"/>
        <v>398.46</v>
      </c>
      <c r="N578" s="204">
        <v>2500</v>
      </c>
    </row>
    <row r="579" spans="1:14" s="86" customFormat="1" x14ac:dyDescent="0.25">
      <c r="A579" s="423" t="s">
        <v>262</v>
      </c>
      <c r="B579" s="424"/>
      <c r="C579" s="113"/>
      <c r="D579" s="167"/>
      <c r="E579" s="113"/>
      <c r="F579" s="167">
        <f>SUM(F576)</f>
        <v>10000</v>
      </c>
      <c r="G579" s="309">
        <f t="shared" ref="G579:L579" si="118">SUM(G575:G578)</f>
        <v>43350</v>
      </c>
      <c r="H579" s="309">
        <f t="shared" si="118"/>
        <v>82103</v>
      </c>
      <c r="I579" s="309">
        <f t="shared" si="118"/>
        <v>85222</v>
      </c>
      <c r="J579" s="309">
        <f t="shared" si="118"/>
        <v>80750</v>
      </c>
      <c r="K579" s="314">
        <f t="shared" si="118"/>
        <v>80750</v>
      </c>
      <c r="L579" s="314">
        <f t="shared" si="118"/>
        <v>107646.33</v>
      </c>
      <c r="M579" s="136">
        <f t="shared" si="113"/>
        <v>161469.495</v>
      </c>
      <c r="N579" s="136">
        <f>SUM(N575:N578)</f>
        <v>80750</v>
      </c>
    </row>
    <row r="580" spans="1:14" x14ac:dyDescent="0.25">
      <c r="A580" s="315">
        <v>560.02</v>
      </c>
      <c r="B580" s="316" t="s">
        <v>150</v>
      </c>
      <c r="C580" s="326"/>
      <c r="D580" s="327"/>
      <c r="E580" s="326"/>
      <c r="F580" s="327"/>
      <c r="G580" s="226">
        <v>300</v>
      </c>
      <c r="H580" s="226">
        <v>221</v>
      </c>
      <c r="I580" s="226">
        <v>300</v>
      </c>
      <c r="J580" s="226">
        <f>SUM('Budget Req-WWTP'!E72)</f>
        <v>300</v>
      </c>
      <c r="K580" s="226">
        <v>300</v>
      </c>
      <c r="L580" s="226">
        <v>110</v>
      </c>
      <c r="M580" s="204">
        <f t="shared" si="113"/>
        <v>165</v>
      </c>
      <c r="N580" s="204">
        <v>500</v>
      </c>
    </row>
    <row r="581" spans="1:14" x14ac:dyDescent="0.25">
      <c r="A581" s="315">
        <v>560.09</v>
      </c>
      <c r="B581" s="316" t="s">
        <v>408</v>
      </c>
      <c r="C581" s="326"/>
      <c r="D581" s="327"/>
      <c r="E581" s="326"/>
      <c r="F581" s="327"/>
      <c r="G581" s="226">
        <v>100</v>
      </c>
      <c r="H581" s="226">
        <v>0</v>
      </c>
      <c r="I581" s="226">
        <v>100</v>
      </c>
      <c r="J581" s="226">
        <f>SUM('Budget Req-WWTP'!E73)</f>
        <v>280</v>
      </c>
      <c r="K581" s="226">
        <v>280</v>
      </c>
      <c r="L581" s="226">
        <v>0</v>
      </c>
      <c r="M581" s="204">
        <f t="shared" si="113"/>
        <v>0</v>
      </c>
      <c r="N581" s="204">
        <v>280</v>
      </c>
    </row>
    <row r="582" spans="1:14" x14ac:dyDescent="0.25">
      <c r="A582" s="315">
        <v>560.1</v>
      </c>
      <c r="B582" s="316" t="s">
        <v>151</v>
      </c>
      <c r="C582" s="326"/>
      <c r="D582" s="327"/>
      <c r="E582" s="326"/>
      <c r="F582" s="327"/>
      <c r="G582" s="226">
        <v>1000</v>
      </c>
      <c r="H582" s="226">
        <v>1406</v>
      </c>
      <c r="I582" s="226">
        <v>1410</v>
      </c>
      <c r="J582" s="226">
        <f>SUM('Budget Req-WWTP'!E74)</f>
        <v>2400</v>
      </c>
      <c r="K582" s="226">
        <v>2400</v>
      </c>
      <c r="L582" s="226">
        <v>1832.72</v>
      </c>
      <c r="M582" s="204">
        <f t="shared" si="113"/>
        <v>2749.08</v>
      </c>
      <c r="N582" s="204">
        <v>2400</v>
      </c>
    </row>
    <row r="583" spans="1:14" s="86" customFormat="1" x14ac:dyDescent="0.25">
      <c r="A583" s="423" t="s">
        <v>149</v>
      </c>
      <c r="B583" s="424"/>
      <c r="C583" s="158"/>
      <c r="D583" s="167"/>
      <c r="E583" s="158"/>
      <c r="F583" s="167"/>
      <c r="G583" s="309">
        <f t="shared" ref="G583:L583" si="119">SUM(G580:G582)</f>
        <v>1400</v>
      </c>
      <c r="H583" s="309">
        <f t="shared" si="119"/>
        <v>1627</v>
      </c>
      <c r="I583" s="309">
        <f t="shared" si="119"/>
        <v>1810</v>
      </c>
      <c r="J583" s="309">
        <f t="shared" si="119"/>
        <v>2980</v>
      </c>
      <c r="K583" s="309">
        <f t="shared" si="119"/>
        <v>2980</v>
      </c>
      <c r="L583" s="309">
        <f t="shared" si="119"/>
        <v>1942.72</v>
      </c>
      <c r="M583" s="136">
        <f t="shared" si="113"/>
        <v>2914.08</v>
      </c>
      <c r="N583" s="136">
        <f>SUM(N580:N582)</f>
        <v>3180</v>
      </c>
    </row>
    <row r="584" spans="1:14" x14ac:dyDescent="0.25">
      <c r="A584" s="315">
        <v>580.01</v>
      </c>
      <c r="B584" s="316" t="s">
        <v>153</v>
      </c>
      <c r="C584" s="326">
        <v>10500</v>
      </c>
      <c r="D584" s="327">
        <v>187</v>
      </c>
      <c r="E584" s="326">
        <v>280</v>
      </c>
      <c r="F584" s="327">
        <v>0</v>
      </c>
      <c r="G584" s="226">
        <v>0</v>
      </c>
      <c r="H584" s="226">
        <v>0</v>
      </c>
      <c r="I584" s="226">
        <v>0</v>
      </c>
      <c r="J584" s="226">
        <f>SUM('Budget Req-WWTP'!E76)</f>
        <v>17000</v>
      </c>
      <c r="K584" s="226">
        <v>17000</v>
      </c>
      <c r="L584" s="226">
        <v>0</v>
      </c>
      <c r="M584" s="204">
        <f t="shared" si="113"/>
        <v>0</v>
      </c>
      <c r="N584" s="204">
        <v>10000</v>
      </c>
    </row>
    <row r="585" spans="1:14" x14ac:dyDescent="0.25">
      <c r="A585" s="315">
        <v>580.20000000000005</v>
      </c>
      <c r="B585" s="316" t="s">
        <v>184</v>
      </c>
      <c r="C585" s="326"/>
      <c r="D585" s="327"/>
      <c r="E585" s="326"/>
      <c r="F585" s="327"/>
      <c r="G585" s="226">
        <v>5000</v>
      </c>
      <c r="H585" s="226">
        <v>9198</v>
      </c>
      <c r="I585" s="226">
        <v>9200</v>
      </c>
      <c r="J585" s="226">
        <f>SUM('Budget Req-WWTP'!E77)</f>
        <v>10000</v>
      </c>
      <c r="K585" s="226">
        <v>10000</v>
      </c>
      <c r="L585" s="226">
        <v>3043.17</v>
      </c>
      <c r="M585" s="204">
        <f t="shared" si="113"/>
        <v>4564.7550000000001</v>
      </c>
      <c r="N585" s="204">
        <v>10000</v>
      </c>
    </row>
    <row r="586" spans="1:14" s="86" customFormat="1" x14ac:dyDescent="0.25">
      <c r="A586" s="440" t="s">
        <v>270</v>
      </c>
      <c r="B586" s="360"/>
      <c r="C586" s="361"/>
      <c r="D586" s="343"/>
      <c r="E586" s="361"/>
      <c r="F586" s="343">
        <f>SUM(F584:F584)</f>
        <v>0</v>
      </c>
      <c r="G586" s="288">
        <f t="shared" ref="G586:L586" si="120">SUM(G584:G585)</f>
        <v>5000</v>
      </c>
      <c r="H586" s="288">
        <f t="shared" si="120"/>
        <v>9198</v>
      </c>
      <c r="I586" s="288">
        <f t="shared" si="120"/>
        <v>9200</v>
      </c>
      <c r="J586" s="288">
        <f t="shared" si="120"/>
        <v>27000</v>
      </c>
      <c r="K586" s="288">
        <f t="shared" si="120"/>
        <v>27000</v>
      </c>
      <c r="L586" s="288">
        <f t="shared" si="120"/>
        <v>3043.17</v>
      </c>
      <c r="M586" s="136">
        <f t="shared" si="113"/>
        <v>4564.7550000000001</v>
      </c>
      <c r="N586" s="136">
        <f>SUM(N584:N585)</f>
        <v>20000</v>
      </c>
    </row>
    <row r="587" spans="1:14" x14ac:dyDescent="0.25">
      <c r="A587" s="315">
        <v>590.01</v>
      </c>
      <c r="B587" s="316" t="s">
        <v>173</v>
      </c>
      <c r="C587" s="326"/>
      <c r="D587" s="327"/>
      <c r="E587" s="326"/>
      <c r="F587" s="327"/>
      <c r="G587" s="226">
        <v>1200</v>
      </c>
      <c r="H587" s="226">
        <v>1374</v>
      </c>
      <c r="I587" s="226">
        <v>1400</v>
      </c>
      <c r="J587" s="226">
        <v>10000</v>
      </c>
      <c r="K587" s="226">
        <v>10000</v>
      </c>
      <c r="L587" s="226">
        <v>1165.5</v>
      </c>
      <c r="M587" s="204">
        <f t="shared" si="113"/>
        <v>1748.25</v>
      </c>
      <c r="N587" s="204">
        <v>10000</v>
      </c>
    </row>
    <row r="588" spans="1:14" x14ac:dyDescent="0.25">
      <c r="A588" s="315">
        <v>590.02</v>
      </c>
      <c r="B588" s="316" t="s">
        <v>264</v>
      </c>
      <c r="C588" s="326"/>
      <c r="D588" s="327"/>
      <c r="E588" s="326"/>
      <c r="F588" s="327"/>
      <c r="G588" s="226">
        <v>22800</v>
      </c>
      <c r="H588" s="226">
        <v>10233</v>
      </c>
      <c r="I588" s="226">
        <f>19116+3000</f>
        <v>22116</v>
      </c>
      <c r="J588" s="226">
        <f>SUM('Budget Req-WWTP'!E86)</f>
        <v>9000</v>
      </c>
      <c r="K588" s="226">
        <v>9000</v>
      </c>
      <c r="L588" s="226">
        <v>2355.4299999999998</v>
      </c>
      <c r="M588" s="204">
        <f t="shared" si="113"/>
        <v>3533.1449999999995</v>
      </c>
      <c r="N588" s="204">
        <v>15000</v>
      </c>
    </row>
    <row r="589" spans="1:14" x14ac:dyDescent="0.25">
      <c r="A589" s="315">
        <v>590.04</v>
      </c>
      <c r="B589" s="316" t="s">
        <v>442</v>
      </c>
      <c r="C589" s="326"/>
      <c r="D589" s="327"/>
      <c r="E589" s="326"/>
      <c r="F589" s="327"/>
      <c r="G589" s="226">
        <v>7185</v>
      </c>
      <c r="H589" s="226">
        <v>7709</v>
      </c>
      <c r="I589" s="226">
        <v>7709</v>
      </c>
      <c r="J589" s="226">
        <f>SUM('Budget Req-WWTP'!E87)</f>
        <v>7709</v>
      </c>
      <c r="K589" s="226">
        <v>7709</v>
      </c>
      <c r="L589" s="226">
        <v>7709.62</v>
      </c>
      <c r="M589" s="204">
        <f t="shared" si="113"/>
        <v>11564.43</v>
      </c>
      <c r="N589" s="204">
        <v>10000</v>
      </c>
    </row>
    <row r="590" spans="1:14" s="86" customFormat="1" x14ac:dyDescent="0.25">
      <c r="A590" s="423" t="s">
        <v>226</v>
      </c>
      <c r="B590" s="424"/>
      <c r="C590" s="158"/>
      <c r="D590" s="167"/>
      <c r="E590" s="158"/>
      <c r="F590" s="167"/>
      <c r="G590" s="309">
        <f t="shared" ref="G590:L590" si="121">SUM(G587:G589)</f>
        <v>31185</v>
      </c>
      <c r="H590" s="309">
        <f t="shared" si="121"/>
        <v>19316</v>
      </c>
      <c r="I590" s="309">
        <f t="shared" si="121"/>
        <v>31225</v>
      </c>
      <c r="J590" s="309">
        <f t="shared" si="121"/>
        <v>26709</v>
      </c>
      <c r="K590" s="309">
        <f t="shared" si="121"/>
        <v>26709</v>
      </c>
      <c r="L590" s="309">
        <f t="shared" si="121"/>
        <v>11230.55</v>
      </c>
      <c r="M590" s="136">
        <f t="shared" si="113"/>
        <v>16845.824999999997</v>
      </c>
      <c r="N590" s="136">
        <f>SUM(N587:N589)</f>
        <v>35000</v>
      </c>
    </row>
    <row r="591" spans="1:14" x14ac:dyDescent="0.25">
      <c r="A591" s="315">
        <v>610.11</v>
      </c>
      <c r="B591" s="316" t="s">
        <v>754</v>
      </c>
      <c r="C591" s="326"/>
      <c r="D591" s="327"/>
      <c r="E591" s="326"/>
      <c r="F591" s="327">
        <v>364510</v>
      </c>
      <c r="G591" s="377">
        <v>0</v>
      </c>
      <c r="H591" s="377">
        <v>0</v>
      </c>
      <c r="I591" s="377">
        <v>0</v>
      </c>
      <c r="J591" s="226">
        <v>700000</v>
      </c>
      <c r="K591" s="226">
        <v>700000</v>
      </c>
      <c r="L591" s="226"/>
      <c r="M591" s="204">
        <f t="shared" si="113"/>
        <v>0</v>
      </c>
      <c r="N591" s="204">
        <v>950000</v>
      </c>
    </row>
    <row r="592" spans="1:14" x14ac:dyDescent="0.25">
      <c r="A592" s="315">
        <v>620.04999999999995</v>
      </c>
      <c r="B592" s="316" t="s">
        <v>273</v>
      </c>
      <c r="C592" s="326"/>
      <c r="D592" s="327"/>
      <c r="E592" s="326"/>
      <c r="F592" s="327">
        <v>193161</v>
      </c>
      <c r="G592" s="226">
        <v>120000</v>
      </c>
      <c r="H592" s="226">
        <v>90000</v>
      </c>
      <c r="I592" s="226">
        <v>120000</v>
      </c>
      <c r="J592" s="226">
        <f>SUM('Budget Req-WWTP'!E90)</f>
        <v>300000</v>
      </c>
      <c r="K592" s="226">
        <v>287500</v>
      </c>
      <c r="L592" s="226">
        <v>191666.64</v>
      </c>
      <c r="M592" s="204">
        <f t="shared" si="113"/>
        <v>287499.96000000002</v>
      </c>
      <c r="N592" s="204">
        <v>287500</v>
      </c>
    </row>
    <row r="593" spans="1:14" s="86" customFormat="1" ht="18.75" thickBot="1" x14ac:dyDescent="0.3">
      <c r="A593" s="439" t="s">
        <v>272</v>
      </c>
      <c r="B593" s="424"/>
      <c r="C593" s="111"/>
      <c r="D593" s="156"/>
      <c r="E593" s="153"/>
      <c r="F593" s="156">
        <f t="shared" ref="F593:L593" si="122">SUM(F591:F592)</f>
        <v>557671</v>
      </c>
      <c r="G593" s="309">
        <f t="shared" si="122"/>
        <v>120000</v>
      </c>
      <c r="H593" s="309">
        <f t="shared" si="122"/>
        <v>90000</v>
      </c>
      <c r="I593" s="124">
        <f t="shared" si="122"/>
        <v>120000</v>
      </c>
      <c r="J593" s="309">
        <f t="shared" si="122"/>
        <v>1000000</v>
      </c>
      <c r="K593" s="309">
        <f t="shared" si="122"/>
        <v>987500</v>
      </c>
      <c r="L593" s="309">
        <f t="shared" si="122"/>
        <v>191666.64</v>
      </c>
      <c r="M593" s="136">
        <f t="shared" si="113"/>
        <v>287499.96000000002</v>
      </c>
      <c r="N593" s="304">
        <f>SUM(N591:N592)</f>
        <v>1237500</v>
      </c>
    </row>
    <row r="594" spans="1:14" s="86" customFormat="1" ht="18.75" thickBot="1" x14ac:dyDescent="0.3">
      <c r="A594" s="592" t="s">
        <v>755</v>
      </c>
      <c r="B594" s="593"/>
      <c r="C594" s="149">
        <f>SUM(C543:C592)</f>
        <v>914407</v>
      </c>
      <c r="D594" s="150">
        <f>SUM(D543:D592)</f>
        <v>607513</v>
      </c>
      <c r="E594" s="150">
        <f>SUM(E543:E592)</f>
        <v>889765</v>
      </c>
      <c r="F594" s="150">
        <f>SUM(F550+F571+F574+F579+F586+F593)</f>
        <v>826711</v>
      </c>
      <c r="G594" s="151">
        <f t="shared" ref="G594:N594" si="123">SUM(G550+G561+G571+G574+G579+G583+G586+G590+G593)</f>
        <v>794892</v>
      </c>
      <c r="H594" s="151">
        <f t="shared" si="123"/>
        <v>628979</v>
      </c>
      <c r="I594" s="151">
        <f t="shared" si="123"/>
        <v>875991.38939999999</v>
      </c>
      <c r="J594" s="151">
        <f t="shared" si="123"/>
        <v>1879955.4956638399</v>
      </c>
      <c r="K594" s="151">
        <f t="shared" si="123"/>
        <v>1856572</v>
      </c>
      <c r="L594" s="151">
        <f t="shared" si="123"/>
        <v>755473.35000000009</v>
      </c>
      <c r="M594" s="151">
        <f t="shared" si="123"/>
        <v>1133210.0249999999</v>
      </c>
      <c r="N594" s="151">
        <f t="shared" si="123"/>
        <v>2221261.6321</v>
      </c>
    </row>
    <row r="595" spans="1:14" x14ac:dyDescent="0.25">
      <c r="A595" s="186"/>
      <c r="B595" s="186"/>
      <c r="C595" s="186"/>
      <c r="D595" s="185"/>
      <c r="E595" s="185"/>
      <c r="F595" s="156"/>
      <c r="G595" s="124"/>
      <c r="H595" s="124"/>
      <c r="I595" s="124"/>
      <c r="J595" s="43"/>
      <c r="K595" s="186"/>
    </row>
    <row r="596" spans="1:14" x14ac:dyDescent="0.25">
      <c r="A596" s="111"/>
      <c r="B596" s="111"/>
      <c r="C596" s="153"/>
      <c r="D596" s="156"/>
      <c r="E596" s="156"/>
      <c r="F596" s="156"/>
      <c r="G596" s="156"/>
      <c r="H596" s="156"/>
      <c r="I596" s="156"/>
      <c r="J596" s="185"/>
      <c r="K596" s="186"/>
    </row>
    <row r="597" spans="1:14" x14ac:dyDescent="0.25">
      <c r="A597" s="94"/>
      <c r="B597" s="94"/>
      <c r="C597" s="92"/>
      <c r="D597" s="95"/>
      <c r="E597" s="95"/>
      <c r="F597" s="115"/>
      <c r="G597" s="188"/>
      <c r="H597" s="188"/>
      <c r="I597" s="188"/>
      <c r="J597" s="169"/>
    </row>
    <row r="598" spans="1:14" x14ac:dyDescent="0.25">
      <c r="A598" s="173"/>
      <c r="B598" s="174"/>
      <c r="C598" s="125"/>
      <c r="D598" s="125"/>
      <c r="E598" s="125"/>
      <c r="F598" s="125"/>
      <c r="G598" s="211"/>
      <c r="H598" s="79"/>
      <c r="I598" s="80" t="str">
        <f>+I2</f>
        <v xml:space="preserve"> Estimated</v>
      </c>
      <c r="J598" s="80" t="s">
        <v>778</v>
      </c>
      <c r="K598" s="80" t="s">
        <v>765</v>
      </c>
      <c r="L598" s="79"/>
      <c r="M598" s="87" t="s">
        <v>655</v>
      </c>
      <c r="N598" s="87" t="s">
        <v>802</v>
      </c>
    </row>
    <row r="599" spans="1:14" x14ac:dyDescent="0.25">
      <c r="A599" s="588" t="s">
        <v>274</v>
      </c>
      <c r="B599" s="589"/>
      <c r="C599" s="122" t="s">
        <v>23</v>
      </c>
      <c r="D599" s="122" t="s">
        <v>26</v>
      </c>
      <c r="E599" s="122" t="s">
        <v>25</v>
      </c>
      <c r="F599" s="122" t="s">
        <v>338</v>
      </c>
      <c r="G599" s="132" t="str">
        <f>+G3</f>
        <v>Budget 2016-17</v>
      </c>
      <c r="H599" s="132" t="str">
        <f>+H3</f>
        <v>Actual 5/31/17</v>
      </c>
      <c r="I599" s="234">
        <f>+I3</f>
        <v>43008</v>
      </c>
      <c r="J599" s="132" t="str">
        <f>+J3</f>
        <v>Budget 2017-18</v>
      </c>
      <c r="K599" s="132" t="s">
        <v>766</v>
      </c>
      <c r="L599" s="132" t="s">
        <v>779</v>
      </c>
      <c r="M599" s="458">
        <v>43373</v>
      </c>
      <c r="N599" s="90" t="s">
        <v>803</v>
      </c>
    </row>
    <row r="600" spans="1:14" x14ac:dyDescent="0.25">
      <c r="A600" s="342" t="s">
        <v>444</v>
      </c>
      <c r="B600" s="397" t="s">
        <v>5</v>
      </c>
      <c r="C600" s="360"/>
      <c r="D600" s="360"/>
      <c r="E600" s="360"/>
      <c r="F600" s="360"/>
      <c r="G600" s="205">
        <v>115260</v>
      </c>
      <c r="H600" s="205">
        <v>88891</v>
      </c>
      <c r="I600" s="205">
        <f>+H600+(9400*4)</f>
        <v>126491</v>
      </c>
      <c r="J600" s="226">
        <f>SUM('Personnel Sched-RO'!I14)*1.02</f>
        <v>31824</v>
      </c>
      <c r="K600" s="205">
        <v>152389</v>
      </c>
      <c r="L600" s="205">
        <v>109906.93</v>
      </c>
      <c r="M600" s="204">
        <f>(L600/8)*12</f>
        <v>164860.39499999999</v>
      </c>
      <c r="N600" s="204">
        <v>184650</v>
      </c>
    </row>
    <row r="601" spans="1:14" x14ac:dyDescent="0.25">
      <c r="A601" s="325">
        <v>510.03</v>
      </c>
      <c r="B601" s="316" t="s">
        <v>127</v>
      </c>
      <c r="C601" s="326">
        <v>310090</v>
      </c>
      <c r="D601" s="327">
        <v>209920</v>
      </c>
      <c r="E601" s="326">
        <v>314880</v>
      </c>
      <c r="F601" s="327">
        <v>0</v>
      </c>
      <c r="G601" s="226">
        <v>12800</v>
      </c>
      <c r="H601" s="226">
        <v>15241</v>
      </c>
      <c r="I601" s="205">
        <v>15241</v>
      </c>
      <c r="J601" s="226">
        <f>SUM('Budget Req-RO'!E11)</f>
        <v>15000</v>
      </c>
      <c r="K601" s="205">
        <v>15000</v>
      </c>
      <c r="L601" s="205">
        <v>0</v>
      </c>
      <c r="M601" s="204">
        <f t="shared" ref="M601:M651" si="124">(L601/8)*12</f>
        <v>0</v>
      </c>
      <c r="N601" s="204">
        <v>5000</v>
      </c>
    </row>
    <row r="602" spans="1:14" x14ac:dyDescent="0.25">
      <c r="A602" s="315">
        <v>510.05</v>
      </c>
      <c r="B602" s="316" t="s">
        <v>164</v>
      </c>
      <c r="C602" s="326"/>
      <c r="D602" s="327"/>
      <c r="E602" s="326"/>
      <c r="F602" s="327"/>
      <c r="G602" s="226">
        <v>15498</v>
      </c>
      <c r="H602" s="226">
        <v>8729</v>
      </c>
      <c r="I602" s="340">
        <v>15498</v>
      </c>
      <c r="J602" s="226">
        <f>SUM('Budget Req-RO'!E17)</f>
        <v>16774.68</v>
      </c>
      <c r="K602" s="205">
        <v>25706</v>
      </c>
      <c r="L602" s="205">
        <v>16373.08</v>
      </c>
      <c r="M602" s="204">
        <f t="shared" si="124"/>
        <v>24559.62</v>
      </c>
      <c r="N602" s="204">
        <v>44567</v>
      </c>
    </row>
    <row r="603" spans="1:14" x14ac:dyDescent="0.25">
      <c r="A603" s="315">
        <v>510.06</v>
      </c>
      <c r="B603" s="316" t="s">
        <v>17</v>
      </c>
      <c r="C603" s="326"/>
      <c r="D603" s="327"/>
      <c r="E603" s="326"/>
      <c r="F603" s="327"/>
      <c r="G603" s="226">
        <v>8817</v>
      </c>
      <c r="H603" s="226">
        <v>5909</v>
      </c>
      <c r="I603" s="340">
        <f>+I600*0.077</f>
        <v>9739.8070000000007</v>
      </c>
      <c r="J603" s="226">
        <f>SUM('Budget Req-RO'!E18)</f>
        <v>2386.8000000000002</v>
      </c>
      <c r="K603" s="205">
        <v>11658</v>
      </c>
      <c r="L603" s="205">
        <v>6381.27</v>
      </c>
      <c r="M603" s="204">
        <f t="shared" si="124"/>
        <v>9571.9050000000007</v>
      </c>
      <c r="N603" s="204">
        <v>14126</v>
      </c>
    </row>
    <row r="604" spans="1:14" x14ac:dyDescent="0.25">
      <c r="A604" s="315">
        <v>510.07</v>
      </c>
      <c r="B604" s="316" t="s">
        <v>130</v>
      </c>
      <c r="C604" s="326"/>
      <c r="D604" s="327"/>
      <c r="E604" s="326"/>
      <c r="F604" s="327"/>
      <c r="G604" s="226">
        <v>5867</v>
      </c>
      <c r="H604" s="226">
        <v>3525</v>
      </c>
      <c r="I604" s="340">
        <f>+I600*0.0502</f>
        <v>6349.8482000000004</v>
      </c>
      <c r="J604" s="226">
        <f>SUM('Budget Req-RO'!E19)</f>
        <v>1447.6799999999998</v>
      </c>
      <c r="K604" s="205">
        <v>7787</v>
      </c>
      <c r="L604" s="205">
        <v>3442.62</v>
      </c>
      <c r="M604" s="204">
        <f t="shared" si="124"/>
        <v>5163.93</v>
      </c>
      <c r="N604" s="204">
        <v>8568</v>
      </c>
    </row>
    <row r="605" spans="1:14" x14ac:dyDescent="0.25">
      <c r="A605" s="315">
        <v>510.08</v>
      </c>
      <c r="B605" s="316" t="s">
        <v>278</v>
      </c>
      <c r="C605" s="326"/>
      <c r="D605" s="327"/>
      <c r="E605" s="326"/>
      <c r="F605" s="327"/>
      <c r="G605" s="226">
        <v>3340</v>
      </c>
      <c r="H605" s="226">
        <v>1904</v>
      </c>
      <c r="I605" s="340">
        <v>3300</v>
      </c>
      <c r="J605" s="226">
        <f>SUM('Budget Req-RO'!E20)</f>
        <v>967.29359999999997</v>
      </c>
      <c r="K605" s="205">
        <v>4587</v>
      </c>
      <c r="L605" s="205">
        <v>2144.88</v>
      </c>
      <c r="M605" s="204">
        <f t="shared" si="124"/>
        <v>3217.32</v>
      </c>
      <c r="N605" s="204">
        <v>4587</v>
      </c>
    </row>
    <row r="606" spans="1:14" x14ac:dyDescent="0.25">
      <c r="A606" s="315">
        <v>510.11</v>
      </c>
      <c r="B606" s="316" t="s">
        <v>780</v>
      </c>
      <c r="C606" s="326"/>
      <c r="D606" s="327"/>
      <c r="E606" s="326"/>
      <c r="F606" s="327"/>
      <c r="G606" s="226">
        <v>0</v>
      </c>
      <c r="H606" s="226">
        <v>200</v>
      </c>
      <c r="I606" s="340">
        <v>200</v>
      </c>
      <c r="J606" s="226">
        <v>0</v>
      </c>
      <c r="K606" s="205">
        <v>0</v>
      </c>
      <c r="L606" s="205">
        <v>0</v>
      </c>
      <c r="M606" s="204">
        <f t="shared" si="124"/>
        <v>0</v>
      </c>
      <c r="N606" s="204">
        <v>800</v>
      </c>
    </row>
    <row r="607" spans="1:14" x14ac:dyDescent="0.25">
      <c r="A607" s="315">
        <v>510.12</v>
      </c>
      <c r="B607" s="316" t="s">
        <v>429</v>
      </c>
      <c r="C607" s="326"/>
      <c r="D607" s="327"/>
      <c r="E607" s="326"/>
      <c r="F607" s="327"/>
      <c r="G607" s="226">
        <v>900</v>
      </c>
      <c r="H607" s="226">
        <v>0</v>
      </c>
      <c r="I607" s="340">
        <v>900</v>
      </c>
      <c r="J607" s="226">
        <f>SUM('Budget Req-RO'!E22)</f>
        <v>900</v>
      </c>
      <c r="K607" s="205">
        <v>2550</v>
      </c>
      <c r="L607" s="205">
        <v>0</v>
      </c>
      <c r="M607" s="204">
        <f t="shared" si="124"/>
        <v>0</v>
      </c>
      <c r="N607" s="204">
        <v>900</v>
      </c>
    </row>
    <row r="608" spans="1:14" s="86" customFormat="1" x14ac:dyDescent="0.25">
      <c r="A608" s="502" t="s">
        <v>178</v>
      </c>
      <c r="B608" s="424"/>
      <c r="C608" s="158"/>
      <c r="D608" s="167"/>
      <c r="E608" s="158"/>
      <c r="F608" s="167">
        <f>SUM(F601)</f>
        <v>0</v>
      </c>
      <c r="G608" s="309">
        <f t="shared" ref="G608:L608" si="125">SUM(G600:G607)</f>
        <v>162482</v>
      </c>
      <c r="H608" s="309">
        <f t="shared" si="125"/>
        <v>124399</v>
      </c>
      <c r="I608" s="309">
        <f t="shared" si="125"/>
        <v>177719.65520000001</v>
      </c>
      <c r="J608" s="309">
        <f t="shared" si="125"/>
        <v>69300.453599999993</v>
      </c>
      <c r="K608" s="309">
        <f t="shared" si="125"/>
        <v>219677</v>
      </c>
      <c r="L608" s="309">
        <f t="shared" si="125"/>
        <v>138248.78</v>
      </c>
      <c r="M608" s="136">
        <f t="shared" si="124"/>
        <v>207373.16999999998</v>
      </c>
      <c r="N608" s="136">
        <f>SUM(N600:N607)</f>
        <v>263198</v>
      </c>
    </row>
    <row r="609" spans="1:14" x14ac:dyDescent="0.25">
      <c r="A609" s="315">
        <v>520.01</v>
      </c>
      <c r="B609" s="316" t="s">
        <v>133</v>
      </c>
      <c r="C609" s="326"/>
      <c r="D609" s="327"/>
      <c r="E609" s="326"/>
      <c r="F609" s="327"/>
      <c r="G609" s="226">
        <v>1700</v>
      </c>
      <c r="H609" s="226">
        <v>931</v>
      </c>
      <c r="I609" s="226">
        <v>1700</v>
      </c>
      <c r="J609" s="340">
        <v>1700</v>
      </c>
      <c r="K609" s="340">
        <v>1700</v>
      </c>
      <c r="L609" s="340">
        <v>488.01</v>
      </c>
      <c r="M609" s="204">
        <f t="shared" si="124"/>
        <v>732.01499999999999</v>
      </c>
      <c r="N609" s="204">
        <v>1700</v>
      </c>
    </row>
    <row r="610" spans="1:14" x14ac:dyDescent="0.25">
      <c r="A610" s="257">
        <v>520.03</v>
      </c>
      <c r="B610" s="203" t="s">
        <v>672</v>
      </c>
      <c r="C610" s="349"/>
      <c r="D610" s="344"/>
      <c r="E610" s="349"/>
      <c r="F610" s="327"/>
      <c r="G610" s="204">
        <v>0</v>
      </c>
      <c r="H610" s="204">
        <v>53</v>
      </c>
      <c r="I610" s="226">
        <v>100</v>
      </c>
      <c r="J610" s="256">
        <v>200</v>
      </c>
      <c r="K610" s="256">
        <v>200</v>
      </c>
      <c r="L610" s="256">
        <v>132.78</v>
      </c>
      <c r="M610" s="204">
        <f t="shared" si="124"/>
        <v>199.17000000000002</v>
      </c>
      <c r="N610" s="204">
        <v>200</v>
      </c>
    </row>
    <row r="611" spans="1:14" x14ac:dyDescent="0.25">
      <c r="A611" s="315">
        <v>520.04</v>
      </c>
      <c r="B611" s="316" t="s">
        <v>433</v>
      </c>
      <c r="C611" s="349"/>
      <c r="D611" s="344"/>
      <c r="E611" s="349"/>
      <c r="F611" s="327"/>
      <c r="G611" s="204">
        <v>2300</v>
      </c>
      <c r="H611" s="204">
        <v>1534</v>
      </c>
      <c r="I611" s="226">
        <v>2500</v>
      </c>
      <c r="J611" s="204">
        <v>4000</v>
      </c>
      <c r="K611" s="204">
        <v>4000</v>
      </c>
      <c r="L611" s="204">
        <v>1841.13</v>
      </c>
      <c r="M611" s="204">
        <f t="shared" si="124"/>
        <v>2761.6950000000002</v>
      </c>
      <c r="N611" s="204">
        <v>4000</v>
      </c>
    </row>
    <row r="612" spans="1:14" s="263" customFormat="1" x14ac:dyDescent="0.25">
      <c r="A612" s="315">
        <v>520.05999999999995</v>
      </c>
      <c r="B612" s="316" t="s">
        <v>199</v>
      </c>
      <c r="C612" s="349"/>
      <c r="D612" s="344"/>
      <c r="E612" s="349"/>
      <c r="F612" s="327"/>
      <c r="G612" s="204">
        <v>3000</v>
      </c>
      <c r="H612" s="204">
        <v>2210</v>
      </c>
      <c r="I612" s="226">
        <v>3000</v>
      </c>
      <c r="J612" s="256">
        <v>4000</v>
      </c>
      <c r="K612" s="256">
        <v>4000</v>
      </c>
      <c r="L612" s="256">
        <v>3208.03</v>
      </c>
      <c r="M612" s="204">
        <f t="shared" si="124"/>
        <v>4812.0450000000001</v>
      </c>
      <c r="N612" s="204">
        <v>5000</v>
      </c>
    </row>
    <row r="613" spans="1:14" x14ac:dyDescent="0.25">
      <c r="A613" s="315">
        <v>520.07000000000005</v>
      </c>
      <c r="B613" s="316" t="s">
        <v>434</v>
      </c>
      <c r="C613" s="349"/>
      <c r="D613" s="344"/>
      <c r="E613" s="349"/>
      <c r="F613" s="327"/>
      <c r="G613" s="204">
        <v>650</v>
      </c>
      <c r="H613" s="204">
        <v>211</v>
      </c>
      <c r="I613" s="226">
        <v>500</v>
      </c>
      <c r="J613" s="381">
        <v>2000</v>
      </c>
      <c r="K613" s="381">
        <v>2000</v>
      </c>
      <c r="L613" s="381">
        <v>775</v>
      </c>
      <c r="M613" s="204">
        <f t="shared" si="124"/>
        <v>1162.5</v>
      </c>
      <c r="N613" s="204">
        <v>3000</v>
      </c>
    </row>
    <row r="614" spans="1:14" x14ac:dyDescent="0.25">
      <c r="A614" s="315">
        <v>520.08000000000004</v>
      </c>
      <c r="B614" s="316" t="s">
        <v>435</v>
      </c>
      <c r="C614" s="349"/>
      <c r="D614" s="344"/>
      <c r="E614" s="349"/>
      <c r="F614" s="327"/>
      <c r="G614" s="204">
        <v>500</v>
      </c>
      <c r="H614" s="204">
        <v>371</v>
      </c>
      <c r="I614" s="226">
        <v>500</v>
      </c>
      <c r="J614" s="256">
        <v>600</v>
      </c>
      <c r="K614" s="256">
        <v>600</v>
      </c>
      <c r="L614" s="256">
        <v>26.48</v>
      </c>
      <c r="M614" s="204">
        <f t="shared" si="124"/>
        <v>39.72</v>
      </c>
      <c r="N614" s="204">
        <v>600</v>
      </c>
    </row>
    <row r="615" spans="1:14" x14ac:dyDescent="0.25">
      <c r="A615" s="315">
        <v>520.09</v>
      </c>
      <c r="B615" s="316" t="s">
        <v>720</v>
      </c>
      <c r="C615" s="349"/>
      <c r="D615" s="344"/>
      <c r="E615" s="349"/>
      <c r="F615" s="327"/>
      <c r="G615" s="204">
        <v>80675</v>
      </c>
      <c r="H615" s="204">
        <v>34686</v>
      </c>
      <c r="I615" s="226">
        <f>37010+10000</f>
        <v>47010</v>
      </c>
      <c r="J615" s="204">
        <f>SUM('Budget Req-RO'!E36)</f>
        <v>89000</v>
      </c>
      <c r="K615" s="204">
        <v>89000</v>
      </c>
      <c r="L615" s="204">
        <v>53582.03</v>
      </c>
      <c r="M615" s="204">
        <f t="shared" si="124"/>
        <v>80373.044999999998</v>
      </c>
      <c r="N615" s="204">
        <v>98000</v>
      </c>
    </row>
    <row r="616" spans="1:14" x14ac:dyDescent="0.25">
      <c r="A616" s="257">
        <v>520.1</v>
      </c>
      <c r="B616" s="203" t="s">
        <v>673</v>
      </c>
      <c r="C616" s="349"/>
      <c r="D616" s="344"/>
      <c r="E616" s="349"/>
      <c r="F616" s="327"/>
      <c r="G616" s="204">
        <v>1700</v>
      </c>
      <c r="H616" s="204">
        <v>4842</v>
      </c>
      <c r="I616" s="226">
        <v>5000</v>
      </c>
      <c r="J616" s="256">
        <v>5000</v>
      </c>
      <c r="K616" s="256">
        <v>5000</v>
      </c>
      <c r="L616" s="256">
        <v>4939.07</v>
      </c>
      <c r="M616" s="204">
        <f t="shared" si="124"/>
        <v>7408.6049999999996</v>
      </c>
      <c r="N616" s="204">
        <v>6000</v>
      </c>
    </row>
    <row r="617" spans="1:14" x14ac:dyDescent="0.25">
      <c r="A617" s="257">
        <v>520.11</v>
      </c>
      <c r="B617" s="203" t="s">
        <v>721</v>
      </c>
      <c r="C617" s="349"/>
      <c r="D617" s="344"/>
      <c r="E617" s="349"/>
      <c r="F617" s="327"/>
      <c r="G617" s="204">
        <v>0</v>
      </c>
      <c r="H617" s="204">
        <v>0</v>
      </c>
      <c r="I617" s="226">
        <v>0</v>
      </c>
      <c r="J617" s="340">
        <v>3000</v>
      </c>
      <c r="K617" s="340">
        <v>3000</v>
      </c>
      <c r="L617" s="340">
        <v>0</v>
      </c>
      <c r="M617" s="204">
        <f t="shared" si="124"/>
        <v>0</v>
      </c>
      <c r="N617" s="204">
        <v>500</v>
      </c>
    </row>
    <row r="618" spans="1:14" s="86" customFormat="1" x14ac:dyDescent="0.25">
      <c r="A618" s="431" t="s">
        <v>137</v>
      </c>
      <c r="B618" s="432"/>
      <c r="C618" s="113"/>
      <c r="D618" s="101"/>
      <c r="E618" s="113"/>
      <c r="F618" s="167"/>
      <c r="G618" s="314">
        <f t="shared" ref="G618:L618" si="126">SUM(G609:G617)</f>
        <v>90525</v>
      </c>
      <c r="H618" s="314">
        <f t="shared" si="126"/>
        <v>44838</v>
      </c>
      <c r="I618" s="309">
        <f t="shared" si="126"/>
        <v>60310</v>
      </c>
      <c r="J618" s="504">
        <f t="shared" si="126"/>
        <v>109500</v>
      </c>
      <c r="K618" s="314">
        <f t="shared" si="126"/>
        <v>109500</v>
      </c>
      <c r="L618" s="314">
        <f t="shared" si="126"/>
        <v>64992.53</v>
      </c>
      <c r="M618" s="136">
        <f t="shared" si="124"/>
        <v>97488.794999999998</v>
      </c>
      <c r="N618" s="136">
        <f>SUM(N609:N617)</f>
        <v>119000</v>
      </c>
    </row>
    <row r="619" spans="1:14" x14ac:dyDescent="0.25">
      <c r="A619" s="257">
        <v>530.01</v>
      </c>
      <c r="B619" s="203" t="s">
        <v>171</v>
      </c>
      <c r="C619" s="350">
        <v>16500</v>
      </c>
      <c r="D619" s="344">
        <v>10435</v>
      </c>
      <c r="E619" s="349">
        <v>15652</v>
      </c>
      <c r="F619" s="344">
        <v>1450</v>
      </c>
      <c r="G619" s="204">
        <v>3370</v>
      </c>
      <c r="H619" s="204">
        <v>2579</v>
      </c>
      <c r="I619" s="226">
        <v>3870</v>
      </c>
      <c r="J619" s="204">
        <f>SUM('Budget Req-RO'!E42)</f>
        <v>3500</v>
      </c>
      <c r="K619" s="204">
        <v>3500</v>
      </c>
      <c r="L619" s="204">
        <v>3342.66</v>
      </c>
      <c r="M619" s="204">
        <f t="shared" si="124"/>
        <v>5013.99</v>
      </c>
      <c r="N619" s="204">
        <v>5000</v>
      </c>
    </row>
    <row r="620" spans="1:14" x14ac:dyDescent="0.25">
      <c r="A620" s="257">
        <v>530.02</v>
      </c>
      <c r="B620" s="203" t="s">
        <v>436</v>
      </c>
      <c r="C620" s="350"/>
      <c r="D620" s="344"/>
      <c r="E620" s="349"/>
      <c r="F620" s="344"/>
      <c r="G620" s="204">
        <v>21800</v>
      </c>
      <c r="H620" s="204">
        <v>1902</v>
      </c>
      <c r="I620" s="226">
        <v>10000</v>
      </c>
      <c r="J620" s="204">
        <f>SUM('Budget Req-RO'!E45)</f>
        <v>22000</v>
      </c>
      <c r="K620" s="204">
        <v>22000</v>
      </c>
      <c r="L620" s="204">
        <v>680.15</v>
      </c>
      <c r="M620" s="204">
        <f t="shared" si="124"/>
        <v>1020.2249999999999</v>
      </c>
      <c r="N620" s="204">
        <v>22000</v>
      </c>
    </row>
    <row r="621" spans="1:14" x14ac:dyDescent="0.25">
      <c r="A621" s="257">
        <v>530.04</v>
      </c>
      <c r="B621" s="203" t="s">
        <v>140</v>
      </c>
      <c r="C621" s="350"/>
      <c r="D621" s="344"/>
      <c r="E621" s="349"/>
      <c r="F621" s="344"/>
      <c r="G621" s="204">
        <v>5200</v>
      </c>
      <c r="H621" s="204">
        <v>7888</v>
      </c>
      <c r="I621" s="226">
        <v>8000</v>
      </c>
      <c r="J621" s="204">
        <f>SUM('Budget Req-RO'!E46)</f>
        <v>12000</v>
      </c>
      <c r="K621" s="204">
        <v>12000</v>
      </c>
      <c r="L621" s="204">
        <v>0</v>
      </c>
      <c r="M621" s="204">
        <f t="shared" si="124"/>
        <v>0</v>
      </c>
      <c r="N621" s="204">
        <v>12000</v>
      </c>
    </row>
    <row r="622" spans="1:14" x14ac:dyDescent="0.25">
      <c r="A622" s="257">
        <v>530.04999999999995</v>
      </c>
      <c r="B622" s="203" t="s">
        <v>18</v>
      </c>
      <c r="C622" s="350"/>
      <c r="D622" s="344"/>
      <c r="E622" s="349"/>
      <c r="F622" s="344"/>
      <c r="G622" s="204">
        <v>150</v>
      </c>
      <c r="H622" s="204">
        <v>0</v>
      </c>
      <c r="I622" s="226">
        <v>150</v>
      </c>
      <c r="J622" s="204">
        <v>150</v>
      </c>
      <c r="K622" s="204">
        <v>150</v>
      </c>
      <c r="L622" s="204">
        <v>0</v>
      </c>
      <c r="M622" s="204">
        <f t="shared" si="124"/>
        <v>0</v>
      </c>
      <c r="N622" s="204">
        <v>150</v>
      </c>
    </row>
    <row r="623" spans="1:14" x14ac:dyDescent="0.25">
      <c r="A623" s="257">
        <v>530.05999999999995</v>
      </c>
      <c r="B623" s="203" t="s">
        <v>549</v>
      </c>
      <c r="C623" s="350"/>
      <c r="D623" s="344"/>
      <c r="E623" s="349"/>
      <c r="F623" s="344"/>
      <c r="G623" s="204">
        <v>500</v>
      </c>
      <c r="H623" s="204">
        <v>0</v>
      </c>
      <c r="I623" s="226">
        <v>500</v>
      </c>
      <c r="J623" s="204">
        <v>500</v>
      </c>
      <c r="K623" s="204">
        <v>500</v>
      </c>
      <c r="L623" s="204">
        <v>537.79</v>
      </c>
      <c r="M623" s="204">
        <f t="shared" si="124"/>
        <v>806.68499999999995</v>
      </c>
      <c r="N623" s="204">
        <v>1000</v>
      </c>
    </row>
    <row r="624" spans="1:14" s="263" customFormat="1" x14ac:dyDescent="0.25">
      <c r="A624" s="257">
        <v>530.11</v>
      </c>
      <c r="B624" s="203" t="s">
        <v>2</v>
      </c>
      <c r="C624" s="349">
        <v>600</v>
      </c>
      <c r="D624" s="344">
        <v>787</v>
      </c>
      <c r="E624" s="349">
        <v>1180</v>
      </c>
      <c r="F624" s="327">
        <v>140000</v>
      </c>
      <c r="G624" s="204">
        <v>360000</v>
      </c>
      <c r="H624" s="204">
        <v>209848</v>
      </c>
      <c r="I624" s="226">
        <f>237598+(29000*3)</f>
        <v>324598</v>
      </c>
      <c r="J624" s="204">
        <f>SUM('Budget Req-RO'!E52)</f>
        <v>400000</v>
      </c>
      <c r="K624" s="204">
        <v>400000</v>
      </c>
      <c r="L624" s="204">
        <v>176859.73</v>
      </c>
      <c r="M624" s="204">
        <f t="shared" si="124"/>
        <v>265289.59500000003</v>
      </c>
      <c r="N624" s="204">
        <v>400000</v>
      </c>
    </row>
    <row r="625" spans="1:14" x14ac:dyDescent="0.25">
      <c r="A625" s="257">
        <v>530.13</v>
      </c>
      <c r="B625" s="203" t="s">
        <v>260</v>
      </c>
      <c r="C625" s="349">
        <v>600</v>
      </c>
      <c r="D625" s="344">
        <v>787</v>
      </c>
      <c r="E625" s="349">
        <v>1180</v>
      </c>
      <c r="F625" s="327">
        <v>140000</v>
      </c>
      <c r="G625" s="204">
        <v>5200</v>
      </c>
      <c r="H625" s="204">
        <f>1640+10750</f>
        <v>12390</v>
      </c>
      <c r="I625" s="226">
        <f>5577+1410+3000</f>
        <v>9987</v>
      </c>
      <c r="J625" s="204">
        <v>25000</v>
      </c>
      <c r="K625" s="204">
        <v>25000</v>
      </c>
      <c r="L625" s="204">
        <v>21349.23</v>
      </c>
      <c r="M625" s="204">
        <f t="shared" si="124"/>
        <v>32023.845000000001</v>
      </c>
      <c r="N625" s="204">
        <v>30000</v>
      </c>
    </row>
    <row r="626" spans="1:14" x14ac:dyDescent="0.25">
      <c r="A626" s="257">
        <v>530.20000000000005</v>
      </c>
      <c r="B626" s="203" t="s">
        <v>261</v>
      </c>
      <c r="C626" s="349">
        <v>150000</v>
      </c>
      <c r="D626" s="344">
        <v>101823</v>
      </c>
      <c r="E626" s="349">
        <v>152735</v>
      </c>
      <c r="F626" s="344">
        <v>1900</v>
      </c>
      <c r="G626" s="204">
        <v>5100</v>
      </c>
      <c r="H626" s="204">
        <v>6303</v>
      </c>
      <c r="I626" s="204">
        <v>6500</v>
      </c>
      <c r="J626" s="204">
        <v>7000</v>
      </c>
      <c r="K626" s="204">
        <v>7000</v>
      </c>
      <c r="L626" s="204">
        <v>8729.5499999999993</v>
      </c>
      <c r="M626" s="204">
        <f t="shared" si="124"/>
        <v>13094.324999999999</v>
      </c>
      <c r="N626" s="204">
        <v>12000</v>
      </c>
    </row>
    <row r="627" spans="1:14" s="86" customFormat="1" x14ac:dyDescent="0.25">
      <c r="A627" s="403" t="s">
        <v>138</v>
      </c>
      <c r="B627" s="135"/>
      <c r="C627" s="113"/>
      <c r="D627" s="101"/>
      <c r="E627" s="113"/>
      <c r="F627" s="101">
        <f t="shared" ref="F627:L627" si="127">SUM(F619:F626)</f>
        <v>283350</v>
      </c>
      <c r="G627" s="314">
        <f t="shared" si="127"/>
        <v>401320</v>
      </c>
      <c r="H627" s="314">
        <f t="shared" si="127"/>
        <v>240910</v>
      </c>
      <c r="I627" s="314">
        <f t="shared" si="127"/>
        <v>363605</v>
      </c>
      <c r="J627" s="314">
        <f t="shared" si="127"/>
        <v>470150</v>
      </c>
      <c r="K627" s="136">
        <f t="shared" si="127"/>
        <v>470150</v>
      </c>
      <c r="L627" s="136">
        <f t="shared" si="127"/>
        <v>211499.11000000002</v>
      </c>
      <c r="M627" s="136">
        <f t="shared" si="124"/>
        <v>317248.66500000004</v>
      </c>
      <c r="N627" s="136">
        <f>SUM(N619:N626)</f>
        <v>482150</v>
      </c>
    </row>
    <row r="628" spans="1:14" x14ac:dyDescent="0.25">
      <c r="A628" s="257">
        <v>540.01</v>
      </c>
      <c r="B628" s="203" t="s">
        <v>153</v>
      </c>
      <c r="C628" s="349">
        <v>160964</v>
      </c>
      <c r="D628" s="344">
        <v>107309</v>
      </c>
      <c r="E628" s="349">
        <v>160964</v>
      </c>
      <c r="F628" s="344">
        <v>0</v>
      </c>
      <c r="G628" s="204">
        <v>2000</v>
      </c>
      <c r="H628" s="204">
        <v>699</v>
      </c>
      <c r="I628" s="204">
        <v>2000</v>
      </c>
      <c r="J628" s="204">
        <f>SUM('Budget Req-RO'!E56)</f>
        <v>5000</v>
      </c>
      <c r="K628" s="204">
        <v>5000</v>
      </c>
      <c r="L628" s="204">
        <v>340</v>
      </c>
      <c r="M628" s="204">
        <f t="shared" si="124"/>
        <v>510</v>
      </c>
      <c r="N628" s="204">
        <v>5000</v>
      </c>
    </row>
    <row r="629" spans="1:14" x14ac:dyDescent="0.25">
      <c r="A629" s="257">
        <v>540.04</v>
      </c>
      <c r="B629" s="203" t="s">
        <v>445</v>
      </c>
      <c r="C629" s="349"/>
      <c r="D629" s="344"/>
      <c r="E629" s="349"/>
      <c r="F629" s="344"/>
      <c r="G629" s="204">
        <v>25000</v>
      </c>
      <c r="H629" s="204">
        <v>36551</v>
      </c>
      <c r="I629" s="204">
        <v>38000</v>
      </c>
      <c r="J629" s="204">
        <v>50000</v>
      </c>
      <c r="K629" s="204">
        <v>50000</v>
      </c>
      <c r="L629" s="204">
        <v>14355.95</v>
      </c>
      <c r="M629" s="204">
        <f t="shared" si="124"/>
        <v>21533.925000000003</v>
      </c>
      <c r="N629" s="204">
        <v>50000</v>
      </c>
    </row>
    <row r="630" spans="1:14" x14ac:dyDescent="0.25">
      <c r="A630" s="257">
        <v>540.07000000000005</v>
      </c>
      <c r="B630" s="203" t="s">
        <v>550</v>
      </c>
      <c r="C630" s="349"/>
      <c r="D630" s="344"/>
      <c r="E630" s="349"/>
      <c r="F630" s="344"/>
      <c r="G630" s="204">
        <v>100</v>
      </c>
      <c r="H630" s="204">
        <v>11011</v>
      </c>
      <c r="I630" s="204">
        <v>11011</v>
      </c>
      <c r="J630" s="204">
        <v>10000</v>
      </c>
      <c r="K630" s="204">
        <v>10000</v>
      </c>
      <c r="L630" s="204">
        <v>0</v>
      </c>
      <c r="M630" s="204">
        <f t="shared" si="124"/>
        <v>0</v>
      </c>
      <c r="N630" s="204">
        <v>10000</v>
      </c>
    </row>
    <row r="631" spans="1:14" s="86" customFormat="1" x14ac:dyDescent="0.25">
      <c r="A631" s="431" t="s">
        <v>275</v>
      </c>
      <c r="B631" s="432"/>
      <c r="C631" s="113"/>
      <c r="D631" s="101"/>
      <c r="E631" s="113"/>
      <c r="F631" s="101">
        <f>SUM(F628)</f>
        <v>0</v>
      </c>
      <c r="G631" s="314">
        <f t="shared" ref="G631:L631" si="128">SUM(G628:G630)</f>
        <v>27100</v>
      </c>
      <c r="H631" s="314">
        <f t="shared" si="128"/>
        <v>48261</v>
      </c>
      <c r="I631" s="314">
        <f t="shared" si="128"/>
        <v>51011</v>
      </c>
      <c r="J631" s="314">
        <f t="shared" si="128"/>
        <v>65000</v>
      </c>
      <c r="K631" s="314">
        <f t="shared" si="128"/>
        <v>65000</v>
      </c>
      <c r="L631" s="314">
        <f t="shared" si="128"/>
        <v>14695.95</v>
      </c>
      <c r="M631" s="136">
        <f t="shared" si="124"/>
        <v>22043.925000000003</v>
      </c>
      <c r="N631" s="136">
        <f>SUM(N628:N630)</f>
        <v>65000</v>
      </c>
    </row>
    <row r="632" spans="1:14" x14ac:dyDescent="0.25">
      <c r="A632" s="257">
        <v>550.01</v>
      </c>
      <c r="B632" s="203" t="s">
        <v>173</v>
      </c>
      <c r="C632" s="349"/>
      <c r="D632" s="344"/>
      <c r="E632" s="349"/>
      <c r="F632" s="344"/>
      <c r="G632" s="204">
        <v>200</v>
      </c>
      <c r="H632" s="204">
        <v>0</v>
      </c>
      <c r="I632" s="204">
        <v>200</v>
      </c>
      <c r="J632" s="204">
        <v>500</v>
      </c>
      <c r="K632" s="204">
        <v>500</v>
      </c>
      <c r="L632" s="204">
        <v>194.25</v>
      </c>
      <c r="M632" s="204">
        <f t="shared" si="124"/>
        <v>291.375</v>
      </c>
      <c r="N632" s="204">
        <v>2000</v>
      </c>
    </row>
    <row r="633" spans="1:14" x14ac:dyDescent="0.25">
      <c r="A633" s="257">
        <v>550.02</v>
      </c>
      <c r="B633" s="387" t="s">
        <v>459</v>
      </c>
      <c r="C633" s="349">
        <v>60000</v>
      </c>
      <c r="D633" s="344">
        <v>0</v>
      </c>
      <c r="E633" s="349">
        <v>0</v>
      </c>
      <c r="F633" s="344">
        <v>20000</v>
      </c>
      <c r="G633" s="204">
        <v>202000</v>
      </c>
      <c r="H633" s="204">
        <f>103656+49</f>
        <v>103705</v>
      </c>
      <c r="I633" s="204">
        <v>103762</v>
      </c>
      <c r="J633" s="204">
        <f>SUM('Budget Req-RO'!E65)</f>
        <v>250000</v>
      </c>
      <c r="K633" s="204">
        <v>250000</v>
      </c>
      <c r="L633" s="204">
        <v>104946.19</v>
      </c>
      <c r="M633" s="204">
        <f t="shared" si="124"/>
        <v>157419.285</v>
      </c>
      <c r="N633" s="204">
        <v>240000</v>
      </c>
    </row>
    <row r="634" spans="1:14" x14ac:dyDescent="0.25">
      <c r="A634" s="257">
        <v>550.04</v>
      </c>
      <c r="B634" s="203" t="s">
        <v>824</v>
      </c>
      <c r="C634" s="349"/>
      <c r="D634" s="344"/>
      <c r="E634" s="349"/>
      <c r="F634" s="344"/>
      <c r="G634" s="204">
        <v>1200</v>
      </c>
      <c r="H634" s="204">
        <v>2288</v>
      </c>
      <c r="I634" s="204">
        <v>2300</v>
      </c>
      <c r="J634" s="202">
        <v>4500</v>
      </c>
      <c r="K634" s="204">
        <v>4500</v>
      </c>
      <c r="L634" s="204">
        <v>396.66</v>
      </c>
      <c r="M634" s="204">
        <f t="shared" si="124"/>
        <v>594.99</v>
      </c>
      <c r="N634" s="204">
        <v>4500</v>
      </c>
    </row>
    <row r="635" spans="1:14" x14ac:dyDescent="0.25">
      <c r="A635" s="257">
        <v>550.05999999999995</v>
      </c>
      <c r="B635" s="203" t="s">
        <v>502</v>
      </c>
      <c r="C635" s="349"/>
      <c r="D635" s="344"/>
      <c r="E635" s="349"/>
      <c r="F635" s="344"/>
      <c r="G635" s="204">
        <v>500</v>
      </c>
      <c r="H635" s="204">
        <v>0</v>
      </c>
      <c r="I635" s="204">
        <v>0</v>
      </c>
      <c r="J635" s="204">
        <v>1000</v>
      </c>
      <c r="K635" s="204">
        <v>1000</v>
      </c>
      <c r="L635" s="204">
        <v>160</v>
      </c>
      <c r="M635" s="204">
        <f t="shared" si="124"/>
        <v>240</v>
      </c>
      <c r="N635" s="204">
        <v>1000</v>
      </c>
    </row>
    <row r="636" spans="1:14" x14ac:dyDescent="0.25">
      <c r="A636" s="257">
        <v>550.09</v>
      </c>
      <c r="B636" s="203" t="s">
        <v>184</v>
      </c>
      <c r="C636" s="349">
        <v>0</v>
      </c>
      <c r="D636" s="344">
        <v>0</v>
      </c>
      <c r="E636" s="349">
        <v>0</v>
      </c>
      <c r="F636" s="344">
        <v>92000</v>
      </c>
      <c r="G636" s="204">
        <v>70000</v>
      </c>
      <c r="H636" s="204">
        <v>127405</v>
      </c>
      <c r="I636" s="226">
        <v>127405</v>
      </c>
      <c r="J636" s="205">
        <v>170000</v>
      </c>
      <c r="K636" s="204">
        <v>170000</v>
      </c>
      <c r="L636" s="204">
        <v>70625</v>
      </c>
      <c r="M636" s="204">
        <f t="shared" si="124"/>
        <v>105937.5</v>
      </c>
      <c r="N636" s="204">
        <v>200000</v>
      </c>
    </row>
    <row r="637" spans="1:14" s="86" customFormat="1" x14ac:dyDescent="0.25">
      <c r="A637" s="431" t="s">
        <v>276</v>
      </c>
      <c r="B637" s="432"/>
      <c r="C637" s="113"/>
      <c r="D637" s="101"/>
      <c r="E637" s="113"/>
      <c r="F637" s="101">
        <f>SUM(F633:F636)</f>
        <v>112000</v>
      </c>
      <c r="G637" s="314">
        <f t="shared" ref="G637:L637" si="129">SUM(G632:G636)</f>
        <v>273900</v>
      </c>
      <c r="H637" s="314">
        <f t="shared" si="129"/>
        <v>233398</v>
      </c>
      <c r="I637" s="314">
        <f t="shared" si="129"/>
        <v>233667</v>
      </c>
      <c r="J637" s="314">
        <f t="shared" si="129"/>
        <v>426000</v>
      </c>
      <c r="K637" s="314">
        <f t="shared" si="129"/>
        <v>426000</v>
      </c>
      <c r="L637" s="314">
        <f t="shared" si="129"/>
        <v>176322.1</v>
      </c>
      <c r="M637" s="136">
        <f t="shared" si="124"/>
        <v>264483.15000000002</v>
      </c>
      <c r="N637" s="304">
        <f>SUM(N632:N636)</f>
        <v>447500</v>
      </c>
    </row>
    <row r="638" spans="1:14" x14ac:dyDescent="0.25">
      <c r="A638" s="257">
        <v>560.02</v>
      </c>
      <c r="B638" s="203" t="s">
        <v>150</v>
      </c>
      <c r="C638" s="349"/>
      <c r="D638" s="344"/>
      <c r="E638" s="349"/>
      <c r="F638" s="344"/>
      <c r="G638" s="204">
        <v>400</v>
      </c>
      <c r="H638" s="204">
        <v>0</v>
      </c>
      <c r="I638" s="204">
        <v>400</v>
      </c>
      <c r="J638" s="202">
        <f>SUM('Budget Req-RO'!E72)</f>
        <v>500</v>
      </c>
      <c r="K638" s="204">
        <v>500</v>
      </c>
      <c r="L638" s="204">
        <v>0</v>
      </c>
      <c r="M638" s="204">
        <f t="shared" si="124"/>
        <v>0</v>
      </c>
      <c r="N638" s="204">
        <v>500</v>
      </c>
    </row>
    <row r="639" spans="1:14" x14ac:dyDescent="0.25">
      <c r="A639" s="257">
        <v>560.09</v>
      </c>
      <c r="B639" s="203" t="s">
        <v>408</v>
      </c>
      <c r="C639" s="349"/>
      <c r="D639" s="344"/>
      <c r="E639" s="349"/>
      <c r="F639" s="344"/>
      <c r="G639" s="204">
        <v>75</v>
      </c>
      <c r="H639" s="204">
        <v>0</v>
      </c>
      <c r="I639" s="204">
        <v>0</v>
      </c>
      <c r="J639" s="204">
        <v>200</v>
      </c>
      <c r="K639" s="204">
        <v>280</v>
      </c>
      <c r="L639" s="204">
        <v>0</v>
      </c>
      <c r="M639" s="204">
        <f t="shared" si="124"/>
        <v>0</v>
      </c>
      <c r="N639" s="204">
        <v>280</v>
      </c>
    </row>
    <row r="640" spans="1:14" x14ac:dyDescent="0.25">
      <c r="A640" s="257">
        <v>560.1</v>
      </c>
      <c r="B640" s="203" t="s">
        <v>151</v>
      </c>
      <c r="C640" s="349"/>
      <c r="D640" s="344"/>
      <c r="E640" s="349"/>
      <c r="F640" s="344"/>
      <c r="G640" s="204">
        <v>500</v>
      </c>
      <c r="H640" s="204">
        <v>400</v>
      </c>
      <c r="I640" s="204">
        <v>550</v>
      </c>
      <c r="J640" s="202">
        <f>SUM('Budget Req-RO'!E74)</f>
        <v>2000</v>
      </c>
      <c r="K640" s="204">
        <v>2000</v>
      </c>
      <c r="L640" s="204">
        <v>1136.8599999999999</v>
      </c>
      <c r="M640" s="204">
        <f t="shared" si="124"/>
        <v>1705.29</v>
      </c>
      <c r="N640" s="204">
        <v>3000</v>
      </c>
    </row>
    <row r="641" spans="1:14" s="86" customFormat="1" x14ac:dyDescent="0.25">
      <c r="A641" s="431" t="s">
        <v>149</v>
      </c>
      <c r="B641" s="432"/>
      <c r="C641" s="113"/>
      <c r="D641" s="101"/>
      <c r="E641" s="113"/>
      <c r="F641" s="101"/>
      <c r="G641" s="314">
        <f t="shared" ref="G641:L641" si="130">SUM(G638:G640)</f>
        <v>975</v>
      </c>
      <c r="H641" s="314">
        <f t="shared" si="130"/>
        <v>400</v>
      </c>
      <c r="I641" s="505">
        <f t="shared" si="130"/>
        <v>950</v>
      </c>
      <c r="J641" s="314">
        <f t="shared" si="130"/>
        <v>2700</v>
      </c>
      <c r="K641" s="314">
        <f t="shared" si="130"/>
        <v>2780</v>
      </c>
      <c r="L641" s="417">
        <f t="shared" si="130"/>
        <v>1136.8599999999999</v>
      </c>
      <c r="M641" s="136">
        <f t="shared" si="124"/>
        <v>1705.29</v>
      </c>
      <c r="N641" s="136">
        <f>SUM(N638:N640)</f>
        <v>3780</v>
      </c>
    </row>
    <row r="642" spans="1:14" x14ac:dyDescent="0.25">
      <c r="A642" s="257">
        <v>580.01</v>
      </c>
      <c r="B642" s="203" t="s">
        <v>623</v>
      </c>
      <c r="C642" s="349"/>
      <c r="D642" s="344"/>
      <c r="E642" s="349"/>
      <c r="F642" s="344"/>
      <c r="G642" s="204">
        <v>5000</v>
      </c>
      <c r="H642" s="204">
        <v>0</v>
      </c>
      <c r="I642" s="204">
        <v>2500</v>
      </c>
      <c r="J642" s="202">
        <f>SUM('Budget Req-RO'!E76)</f>
        <v>10000</v>
      </c>
      <c r="K642" s="204">
        <v>10000</v>
      </c>
      <c r="L642" s="204">
        <v>0</v>
      </c>
      <c r="M642" s="204">
        <f t="shared" si="124"/>
        <v>0</v>
      </c>
      <c r="N642" s="204">
        <v>10000</v>
      </c>
    </row>
    <row r="643" spans="1:14" s="86" customFormat="1" x14ac:dyDescent="0.25">
      <c r="A643" s="431" t="s">
        <v>446</v>
      </c>
      <c r="B643" s="432"/>
      <c r="C643" s="113"/>
      <c r="D643" s="101"/>
      <c r="E643" s="113"/>
      <c r="F643" s="101"/>
      <c r="G643" s="314">
        <f t="shared" ref="G643:L643" si="131">SUM(G642:G642)</f>
        <v>5000</v>
      </c>
      <c r="H643" s="314">
        <f t="shared" si="131"/>
        <v>0</v>
      </c>
      <c r="I643" s="314">
        <f t="shared" si="131"/>
        <v>2500</v>
      </c>
      <c r="J643" s="314">
        <f t="shared" si="131"/>
        <v>10000</v>
      </c>
      <c r="K643" s="314">
        <f t="shared" si="131"/>
        <v>10000</v>
      </c>
      <c r="L643" s="417">
        <f t="shared" si="131"/>
        <v>0</v>
      </c>
      <c r="M643" s="136">
        <f t="shared" si="124"/>
        <v>0</v>
      </c>
      <c r="N643" s="136">
        <f>SUM(N642)</f>
        <v>10000</v>
      </c>
    </row>
    <row r="644" spans="1:14" x14ac:dyDescent="0.25">
      <c r="A644" s="257">
        <v>590.01</v>
      </c>
      <c r="B644" s="203" t="s">
        <v>173</v>
      </c>
      <c r="C644" s="349"/>
      <c r="D644" s="344"/>
      <c r="E644" s="349"/>
      <c r="F644" s="344"/>
      <c r="G644" s="204">
        <v>1000</v>
      </c>
      <c r="H644" s="204">
        <v>346</v>
      </c>
      <c r="I644" s="204">
        <v>500</v>
      </c>
      <c r="J644" s="202">
        <f>SUM('Budget Req-RO'!E80)</f>
        <v>2000</v>
      </c>
      <c r="K644" s="204">
        <v>2000</v>
      </c>
      <c r="L644" s="204">
        <v>0</v>
      </c>
      <c r="M644" s="204">
        <f t="shared" si="124"/>
        <v>0</v>
      </c>
      <c r="N644" s="204">
        <v>2000</v>
      </c>
    </row>
    <row r="645" spans="1:14" x14ac:dyDescent="0.25">
      <c r="A645" s="257">
        <v>590.02</v>
      </c>
      <c r="B645" s="203" t="s">
        <v>174</v>
      </c>
      <c r="C645" s="349"/>
      <c r="D645" s="344"/>
      <c r="E645" s="349"/>
      <c r="F645" s="344"/>
      <c r="G645" s="204">
        <v>1800</v>
      </c>
      <c r="H645" s="204">
        <v>1729</v>
      </c>
      <c r="I645" s="204">
        <v>1730</v>
      </c>
      <c r="J645" s="202" t="e">
        <f>SUM('Budget Req-RO'!#REF!)</f>
        <v>#REF!</v>
      </c>
      <c r="K645" s="204">
        <v>2000</v>
      </c>
      <c r="L645" s="204">
        <v>2061.59</v>
      </c>
      <c r="M645" s="204">
        <f t="shared" si="124"/>
        <v>3092.3850000000002</v>
      </c>
      <c r="N645" s="204">
        <v>3000</v>
      </c>
    </row>
    <row r="646" spans="1:14" x14ac:dyDescent="0.25">
      <c r="A646" s="257">
        <v>590.04</v>
      </c>
      <c r="B646" s="203" t="s">
        <v>611</v>
      </c>
      <c r="C646" s="349"/>
      <c r="D646" s="344"/>
      <c r="E646" s="349"/>
      <c r="F646" s="344"/>
      <c r="G646" s="204">
        <v>7185</v>
      </c>
      <c r="H646" s="204">
        <v>7817</v>
      </c>
      <c r="I646" s="204">
        <v>7900</v>
      </c>
      <c r="J646" s="202">
        <v>9000</v>
      </c>
      <c r="K646" s="204">
        <v>9000</v>
      </c>
      <c r="L646" s="204">
        <v>7817.2</v>
      </c>
      <c r="M646" s="204">
        <f t="shared" si="124"/>
        <v>11725.8</v>
      </c>
      <c r="N646" s="204">
        <v>25000</v>
      </c>
    </row>
    <row r="647" spans="1:14" x14ac:dyDescent="0.25">
      <c r="A647" s="315">
        <v>590.05999999999995</v>
      </c>
      <c r="B647" s="316" t="s">
        <v>195</v>
      </c>
      <c r="C647" s="326"/>
      <c r="D647" s="327"/>
      <c r="E647" s="326"/>
      <c r="F647" s="327"/>
      <c r="G647" s="226">
        <v>0</v>
      </c>
      <c r="H647" s="226">
        <v>292</v>
      </c>
      <c r="I647" s="226">
        <v>300</v>
      </c>
      <c r="J647" s="205">
        <v>1000</v>
      </c>
      <c r="K647" s="226">
        <v>1000</v>
      </c>
      <c r="L647" s="226">
        <v>153.5</v>
      </c>
      <c r="M647" s="204">
        <f t="shared" si="124"/>
        <v>230.25</v>
      </c>
      <c r="N647" s="204">
        <v>2000</v>
      </c>
    </row>
    <row r="648" spans="1:14" s="86" customFormat="1" x14ac:dyDescent="0.25">
      <c r="A648" s="423" t="s">
        <v>447</v>
      </c>
      <c r="B648" s="424"/>
      <c r="C648" s="158"/>
      <c r="D648" s="167"/>
      <c r="E648" s="158"/>
      <c r="F648" s="167"/>
      <c r="G648" s="309">
        <f t="shared" ref="G648:L648" si="132">SUM(G644:G647)</f>
        <v>9985</v>
      </c>
      <c r="H648" s="309">
        <f t="shared" si="132"/>
        <v>10184</v>
      </c>
      <c r="I648" s="309">
        <f t="shared" si="132"/>
        <v>10430</v>
      </c>
      <c r="J648" s="309" t="e">
        <f t="shared" si="132"/>
        <v>#REF!</v>
      </c>
      <c r="K648" s="309">
        <f t="shared" si="132"/>
        <v>14000</v>
      </c>
      <c r="L648" s="422">
        <f t="shared" si="132"/>
        <v>10032.290000000001</v>
      </c>
      <c r="M648" s="136">
        <f t="shared" si="124"/>
        <v>15048.435000000001</v>
      </c>
      <c r="N648" s="136">
        <f>SUM(N644:N647)</f>
        <v>32000</v>
      </c>
    </row>
    <row r="649" spans="1:14" x14ac:dyDescent="0.25">
      <c r="A649" s="325">
        <v>610.11</v>
      </c>
      <c r="B649" s="316" t="s">
        <v>771</v>
      </c>
      <c r="C649" s="326"/>
      <c r="D649" s="327"/>
      <c r="E649" s="326"/>
      <c r="F649" s="327">
        <v>364510</v>
      </c>
      <c r="G649" s="226">
        <v>0</v>
      </c>
      <c r="H649" s="226">
        <v>0</v>
      </c>
      <c r="I649" s="226">
        <v>0</v>
      </c>
      <c r="J649" s="226">
        <v>0</v>
      </c>
      <c r="K649" s="226">
        <v>700000</v>
      </c>
      <c r="L649" s="226">
        <v>0</v>
      </c>
      <c r="M649" s="204">
        <f t="shared" si="124"/>
        <v>0</v>
      </c>
      <c r="N649" s="204">
        <v>950000</v>
      </c>
    </row>
    <row r="650" spans="1:14" x14ac:dyDescent="0.25">
      <c r="A650" s="315">
        <v>620.04999999999995</v>
      </c>
      <c r="B650" s="316" t="s">
        <v>3</v>
      </c>
      <c r="C650" s="326"/>
      <c r="D650" s="327"/>
      <c r="E650" s="326"/>
      <c r="F650" s="327">
        <v>193161</v>
      </c>
      <c r="G650" s="226">
        <v>120000</v>
      </c>
      <c r="H650" s="226">
        <v>90000</v>
      </c>
      <c r="I650" s="226">
        <v>120000</v>
      </c>
      <c r="J650" s="226">
        <f>SUM('Budget Req-RO'!E86)</f>
        <v>300000</v>
      </c>
      <c r="K650" s="226">
        <v>287500</v>
      </c>
      <c r="L650" s="226">
        <v>191666.64</v>
      </c>
      <c r="M650" s="204">
        <f t="shared" si="124"/>
        <v>287499.96000000002</v>
      </c>
      <c r="N650" s="204">
        <v>287500</v>
      </c>
    </row>
    <row r="651" spans="1:14" s="86" customFormat="1" ht="18.75" thickBot="1" x14ac:dyDescent="0.3">
      <c r="A651" s="439" t="s">
        <v>277</v>
      </c>
      <c r="B651" s="424"/>
      <c r="C651" s="153"/>
      <c r="D651" s="156"/>
      <c r="E651" s="153"/>
      <c r="F651" s="156">
        <f t="shared" ref="F651:L651" si="133">SUM(F649:F650)</f>
        <v>557671</v>
      </c>
      <c r="G651" s="309">
        <f t="shared" si="133"/>
        <v>120000</v>
      </c>
      <c r="H651" s="309">
        <f t="shared" si="133"/>
        <v>90000</v>
      </c>
      <c r="I651" s="309">
        <f t="shared" si="133"/>
        <v>120000</v>
      </c>
      <c r="J651" s="309">
        <f t="shared" si="133"/>
        <v>300000</v>
      </c>
      <c r="K651" s="309">
        <f t="shared" si="133"/>
        <v>987500</v>
      </c>
      <c r="L651" s="422">
        <f t="shared" si="133"/>
        <v>191666.64</v>
      </c>
      <c r="M651" s="136">
        <f t="shared" si="124"/>
        <v>287499.96000000002</v>
      </c>
      <c r="N651" s="304">
        <f>SUM(N649:N650)</f>
        <v>1237500</v>
      </c>
    </row>
    <row r="652" spans="1:14" ht="18.75" thickBot="1" x14ac:dyDescent="0.3">
      <c r="A652" s="592" t="s">
        <v>4</v>
      </c>
      <c r="B652" s="593"/>
      <c r="C652" s="149">
        <f>SUM(C601:C636)</f>
        <v>698754</v>
      </c>
      <c r="D652" s="150">
        <f>SUM(D601:D636)</f>
        <v>431061</v>
      </c>
      <c r="E652" s="150">
        <f>SUM(E601:E636)</f>
        <v>646591</v>
      </c>
      <c r="F652" s="150">
        <f>SUM(F608+F627+F631+F637+F651)</f>
        <v>953021</v>
      </c>
      <c r="G652" s="151">
        <f t="shared" ref="G652:N652" si="134">SUM(G608+G618+G627+G631+G637+G641+G643+G648+G651)</f>
        <v>1091287</v>
      </c>
      <c r="H652" s="151">
        <f t="shared" si="134"/>
        <v>792390</v>
      </c>
      <c r="I652" s="151">
        <f t="shared" si="134"/>
        <v>1020192.6552</v>
      </c>
      <c r="J652" s="151" t="e">
        <f t="shared" si="134"/>
        <v>#REF!</v>
      </c>
      <c r="K652" s="151">
        <f t="shared" si="134"/>
        <v>2304607</v>
      </c>
      <c r="L652" s="393">
        <f t="shared" si="134"/>
        <v>808594.26000000013</v>
      </c>
      <c r="M652" s="393">
        <f t="shared" si="134"/>
        <v>1212891.3900000001</v>
      </c>
      <c r="N652" s="393">
        <f t="shared" si="134"/>
        <v>2660128</v>
      </c>
    </row>
    <row r="653" spans="1:14" x14ac:dyDescent="0.25">
      <c r="A653" s="186"/>
      <c r="B653" s="186"/>
      <c r="C653" s="186"/>
      <c r="D653" s="186"/>
      <c r="E653" s="186"/>
      <c r="F653" s="186"/>
      <c r="G653" s="43"/>
      <c r="H653" s="43"/>
      <c r="I653" s="43"/>
      <c r="J653" s="43"/>
      <c r="K653" s="186"/>
    </row>
    <row r="654" spans="1:14" x14ac:dyDescent="0.25">
      <c r="A654" s="590" t="s">
        <v>13</v>
      </c>
      <c r="B654" s="591"/>
      <c r="C654" s="210"/>
      <c r="D654" s="210"/>
      <c r="E654" s="210"/>
      <c r="F654" s="126"/>
      <c r="G654" s="211"/>
      <c r="H654" s="79"/>
      <c r="I654" s="80" t="str">
        <f>+I2</f>
        <v xml:space="preserve"> Estimated</v>
      </c>
      <c r="J654" s="80" t="s">
        <v>778</v>
      </c>
      <c r="K654" s="80" t="s">
        <v>767</v>
      </c>
      <c r="L654" s="79"/>
      <c r="M654" s="87" t="s">
        <v>655</v>
      </c>
      <c r="N654" s="87" t="s">
        <v>802</v>
      </c>
    </row>
    <row r="655" spans="1:14" x14ac:dyDescent="0.25">
      <c r="A655" s="394" t="s">
        <v>448</v>
      </c>
      <c r="B655" s="389"/>
      <c r="C655" s="122" t="s">
        <v>23</v>
      </c>
      <c r="D655" s="122" t="s">
        <v>26</v>
      </c>
      <c r="E655" s="122" t="s">
        <v>25</v>
      </c>
      <c r="F655" s="122" t="s">
        <v>338</v>
      </c>
      <c r="G655" s="132" t="str">
        <f>+G3</f>
        <v>Budget 2016-17</v>
      </c>
      <c r="H655" s="132" t="str">
        <f>+H3</f>
        <v>Actual 5/31/17</v>
      </c>
      <c r="I655" s="234">
        <f>+I3</f>
        <v>43008</v>
      </c>
      <c r="J655" s="132" t="str">
        <f>+J3</f>
        <v>Budget 2017-18</v>
      </c>
      <c r="K655" s="132" t="s">
        <v>766</v>
      </c>
      <c r="L655" s="132" t="s">
        <v>779</v>
      </c>
      <c r="M655" s="380">
        <v>43373</v>
      </c>
      <c r="N655" s="379" t="s">
        <v>803</v>
      </c>
    </row>
    <row r="656" spans="1:14" x14ac:dyDescent="0.25">
      <c r="A656" s="396" t="s">
        <v>449</v>
      </c>
      <c r="B656" s="316" t="s">
        <v>5</v>
      </c>
      <c r="C656" s="316"/>
      <c r="D656" s="316"/>
      <c r="E656" s="316"/>
      <c r="F656" s="316"/>
      <c r="G656" s="226">
        <v>530094</v>
      </c>
      <c r="H656" s="205">
        <v>322077</v>
      </c>
      <c r="I656" s="205">
        <f>+H656+(35000*4)</f>
        <v>462077</v>
      </c>
      <c r="J656" s="226">
        <f>'Personnel Sched-W&amp;S O&amp;M '!H38*1.02</f>
        <v>510715.30559999996</v>
      </c>
      <c r="K656" s="226">
        <v>487827</v>
      </c>
      <c r="L656" s="226">
        <v>217762.77</v>
      </c>
      <c r="M656" s="204">
        <f>(L656/8)*12</f>
        <v>326644.15499999997</v>
      </c>
      <c r="N656" s="204">
        <v>500701</v>
      </c>
    </row>
    <row r="657" spans="1:14" x14ac:dyDescent="0.25">
      <c r="A657" s="325">
        <v>510.03</v>
      </c>
      <c r="B657" s="316" t="s">
        <v>127</v>
      </c>
      <c r="C657" s="316"/>
      <c r="D657" s="316"/>
      <c r="E657" s="316"/>
      <c r="F657" s="316"/>
      <c r="G657" s="205">
        <v>7000</v>
      </c>
      <c r="H657" s="205">
        <v>59578</v>
      </c>
      <c r="I657" s="205">
        <v>106393</v>
      </c>
      <c r="J657" s="226">
        <f>SUM('Bud Req-W&amp;S O&amp;M'!E12)</f>
        <v>8200</v>
      </c>
      <c r="K657" s="226">
        <v>158200</v>
      </c>
      <c r="L657" s="226">
        <v>274436.98</v>
      </c>
      <c r="M657" s="204">
        <f t="shared" ref="M657:M708" si="135">(L657/8)*12</f>
        <v>411655.47</v>
      </c>
      <c r="N657" s="204">
        <v>10000</v>
      </c>
    </row>
    <row r="658" spans="1:14" x14ac:dyDescent="0.25">
      <c r="A658" s="315">
        <v>510.05</v>
      </c>
      <c r="B658" s="316" t="s">
        <v>164</v>
      </c>
      <c r="C658" s="316"/>
      <c r="D658" s="316"/>
      <c r="E658" s="316"/>
      <c r="F658" s="316"/>
      <c r="G658" s="205">
        <v>92493</v>
      </c>
      <c r="H658" s="205">
        <v>52363</v>
      </c>
      <c r="I658" s="205">
        <f>+H658+40000</f>
        <v>92363</v>
      </c>
      <c r="J658" s="226">
        <f>SUM('Bud Req-W&amp;S O&amp;M'!E18)</f>
        <v>102262.611592</v>
      </c>
      <c r="K658" s="226">
        <v>102429</v>
      </c>
      <c r="L658" s="226">
        <v>48158.85</v>
      </c>
      <c r="M658" s="204">
        <f t="shared" si="135"/>
        <v>72238.274999999994</v>
      </c>
      <c r="N658" s="204">
        <v>133375</v>
      </c>
    </row>
    <row r="659" spans="1:14" x14ac:dyDescent="0.25">
      <c r="A659" s="315">
        <v>510.06</v>
      </c>
      <c r="B659" s="316" t="s">
        <v>17</v>
      </c>
      <c r="C659" s="316"/>
      <c r="D659" s="316"/>
      <c r="E659" s="316"/>
      <c r="F659" s="316"/>
      <c r="G659" s="205">
        <v>41365</v>
      </c>
      <c r="H659" s="205">
        <v>23444</v>
      </c>
      <c r="I659" s="205">
        <f>+I656*0.08</f>
        <v>36966.160000000003</v>
      </c>
      <c r="J659" s="226">
        <f>SUM('Bud Req-W&amp;S O&amp;M'!E19)</f>
        <v>38303.647919999996</v>
      </c>
      <c r="K659" s="226">
        <v>36587</v>
      </c>
      <c r="L659" s="226">
        <v>13658.17</v>
      </c>
      <c r="M659" s="204">
        <f t="shared" si="135"/>
        <v>20487.255000000001</v>
      </c>
      <c r="N659" s="204">
        <v>38304</v>
      </c>
    </row>
    <row r="660" spans="1:14" x14ac:dyDescent="0.25">
      <c r="A660" s="315">
        <v>510.07</v>
      </c>
      <c r="B660" s="316" t="s">
        <v>130</v>
      </c>
      <c r="C660" s="316"/>
      <c r="D660" s="316"/>
      <c r="E660" s="316"/>
      <c r="F660" s="316"/>
      <c r="G660" s="205">
        <v>27522</v>
      </c>
      <c r="H660" s="205">
        <v>13249</v>
      </c>
      <c r="I660" s="205">
        <f>+I656*0.0502</f>
        <v>23196.2654</v>
      </c>
      <c r="J660" s="226">
        <f>SUM('Bud Req-W&amp;S O&amp;M'!E20)</f>
        <v>23232.539391999999</v>
      </c>
      <c r="K660" s="226">
        <v>24830</v>
      </c>
      <c r="L660" s="226">
        <v>7746.52</v>
      </c>
      <c r="M660" s="204">
        <f t="shared" si="135"/>
        <v>11619.78</v>
      </c>
      <c r="N660" s="204">
        <v>23233</v>
      </c>
    </row>
    <row r="661" spans="1:14" x14ac:dyDescent="0.25">
      <c r="A661" s="315">
        <v>510.08</v>
      </c>
      <c r="B661" s="316" t="s">
        <v>278</v>
      </c>
      <c r="C661" s="316"/>
      <c r="D661" s="316"/>
      <c r="E661" s="316"/>
      <c r="F661" s="316"/>
      <c r="G661" s="205">
        <v>13129</v>
      </c>
      <c r="H661" s="205">
        <v>8598</v>
      </c>
      <c r="I661" s="205">
        <v>13129</v>
      </c>
      <c r="J661" s="226">
        <f>SUM('Bud Req-W&amp;S O&amp;M'!E23)</f>
        <v>13511.92474208</v>
      </c>
      <c r="K661" s="226">
        <v>13129</v>
      </c>
      <c r="L661" s="226">
        <v>17695.240000000002</v>
      </c>
      <c r="M661" s="204">
        <f t="shared" si="135"/>
        <v>26542.86</v>
      </c>
      <c r="N661" s="204">
        <v>25000</v>
      </c>
    </row>
    <row r="662" spans="1:14" x14ac:dyDescent="0.25">
      <c r="A662" s="315">
        <v>510.11</v>
      </c>
      <c r="B662" s="316" t="s">
        <v>780</v>
      </c>
      <c r="C662" s="316"/>
      <c r="D662" s="316"/>
      <c r="E662" s="316"/>
      <c r="F662" s="316"/>
      <c r="G662" s="205">
        <v>0</v>
      </c>
      <c r="H662" s="205">
        <v>1200</v>
      </c>
      <c r="I662" s="205">
        <v>1200</v>
      </c>
      <c r="J662" s="226">
        <v>0</v>
      </c>
      <c r="K662" s="226">
        <v>0</v>
      </c>
      <c r="L662" s="226">
        <v>800</v>
      </c>
      <c r="M662" s="204">
        <f t="shared" si="135"/>
        <v>1200</v>
      </c>
      <c r="N662" s="204">
        <v>2600</v>
      </c>
    </row>
    <row r="663" spans="1:14" x14ac:dyDescent="0.25">
      <c r="A663" s="315">
        <v>510.12</v>
      </c>
      <c r="B663" s="316" t="s">
        <v>429</v>
      </c>
      <c r="C663" s="316"/>
      <c r="D663" s="316"/>
      <c r="E663" s="316"/>
      <c r="F663" s="316"/>
      <c r="G663" s="205">
        <v>4500</v>
      </c>
      <c r="H663" s="205">
        <v>0</v>
      </c>
      <c r="I663" s="205">
        <v>4500</v>
      </c>
      <c r="J663" s="226">
        <f>SUM('Bud Req-W&amp;S O&amp;M'!E27)</f>
        <v>3450</v>
      </c>
      <c r="K663" s="226">
        <v>8400</v>
      </c>
      <c r="L663" s="226">
        <v>4500</v>
      </c>
      <c r="M663" s="204">
        <f t="shared" si="135"/>
        <v>6750</v>
      </c>
      <c r="N663" s="204">
        <v>9150</v>
      </c>
    </row>
    <row r="664" spans="1:14" s="86" customFormat="1" x14ac:dyDescent="0.25">
      <c r="A664" s="502" t="s">
        <v>178</v>
      </c>
      <c r="B664" s="424"/>
      <c r="C664" s="166"/>
      <c r="D664" s="166"/>
      <c r="E664" s="166"/>
      <c r="F664" s="166"/>
      <c r="G664" s="503">
        <f t="shared" ref="G664:L664" si="136">SUM(G656:G663)</f>
        <v>716103</v>
      </c>
      <c r="H664" s="503">
        <f t="shared" si="136"/>
        <v>480509</v>
      </c>
      <c r="I664" s="503">
        <f t="shared" si="136"/>
        <v>739824.42540000007</v>
      </c>
      <c r="J664" s="503">
        <f t="shared" si="136"/>
        <v>699676.02924607997</v>
      </c>
      <c r="K664" s="309">
        <f t="shared" si="136"/>
        <v>831402</v>
      </c>
      <c r="L664" s="422">
        <f t="shared" si="136"/>
        <v>584758.53</v>
      </c>
      <c r="M664" s="136">
        <f t="shared" si="135"/>
        <v>877137.79500000004</v>
      </c>
      <c r="N664" s="136">
        <f>SUM(N656:N663)</f>
        <v>742363</v>
      </c>
    </row>
    <row r="665" spans="1:14" x14ac:dyDescent="0.25">
      <c r="A665" s="315">
        <v>520.01</v>
      </c>
      <c r="B665" s="316" t="s">
        <v>133</v>
      </c>
      <c r="C665" s="316"/>
      <c r="D665" s="316"/>
      <c r="E665" s="316"/>
      <c r="F665" s="316"/>
      <c r="G665" s="205">
        <v>2500</v>
      </c>
      <c r="H665" s="205">
        <v>2370</v>
      </c>
      <c r="I665" s="205">
        <v>2500</v>
      </c>
      <c r="J665" s="205">
        <v>2500</v>
      </c>
      <c r="K665" s="226">
        <v>2500</v>
      </c>
      <c r="L665" s="226">
        <v>2073.7199999999998</v>
      </c>
      <c r="M665" s="204">
        <f t="shared" si="135"/>
        <v>3110.58</v>
      </c>
      <c r="N665" s="204">
        <v>3000</v>
      </c>
    </row>
    <row r="666" spans="1:14" x14ac:dyDescent="0.25">
      <c r="A666" s="315">
        <v>520.03</v>
      </c>
      <c r="B666" s="316" t="s">
        <v>676</v>
      </c>
      <c r="C666" s="316"/>
      <c r="D666" s="316"/>
      <c r="E666" s="316"/>
      <c r="F666" s="316"/>
      <c r="G666" s="205">
        <v>0</v>
      </c>
      <c r="H666" s="205">
        <v>316</v>
      </c>
      <c r="I666" s="205">
        <v>500</v>
      </c>
      <c r="J666" s="205">
        <v>500</v>
      </c>
      <c r="K666" s="226">
        <v>500</v>
      </c>
      <c r="L666" s="226">
        <v>324.10000000000002</v>
      </c>
      <c r="M666" s="204">
        <f t="shared" si="135"/>
        <v>486.15000000000003</v>
      </c>
      <c r="N666" s="204">
        <v>500</v>
      </c>
    </row>
    <row r="667" spans="1:14" x14ac:dyDescent="0.25">
      <c r="A667" s="315">
        <v>520.04</v>
      </c>
      <c r="B667" s="316" t="s">
        <v>433</v>
      </c>
      <c r="C667" s="316"/>
      <c r="D667" s="316"/>
      <c r="E667" s="316"/>
      <c r="F667" s="316"/>
      <c r="G667" s="205">
        <v>18540</v>
      </c>
      <c r="H667" s="205">
        <v>9948</v>
      </c>
      <c r="I667" s="205">
        <v>18540</v>
      </c>
      <c r="J667" s="226">
        <f>SUM('Bud Req-W&amp;S O&amp;M'!E33)</f>
        <v>20000</v>
      </c>
      <c r="K667" s="226">
        <v>20000</v>
      </c>
      <c r="L667" s="226">
        <v>8160.65</v>
      </c>
      <c r="M667" s="204">
        <f t="shared" si="135"/>
        <v>12240.974999999999</v>
      </c>
      <c r="N667" s="204">
        <v>20000</v>
      </c>
    </row>
    <row r="668" spans="1:14" x14ac:dyDescent="0.25">
      <c r="A668" s="315">
        <v>520.05999999999995</v>
      </c>
      <c r="B668" s="316" t="s">
        <v>199</v>
      </c>
      <c r="C668" s="316"/>
      <c r="D668" s="316"/>
      <c r="E668" s="316"/>
      <c r="F668" s="316"/>
      <c r="G668" s="205">
        <v>10500</v>
      </c>
      <c r="H668" s="205">
        <v>7100</v>
      </c>
      <c r="I668" s="205">
        <v>12000</v>
      </c>
      <c r="J668" s="205">
        <v>12000</v>
      </c>
      <c r="K668" s="226">
        <v>12000</v>
      </c>
      <c r="L668" s="226">
        <v>10777.34</v>
      </c>
      <c r="M668" s="204">
        <f t="shared" si="135"/>
        <v>16166.01</v>
      </c>
      <c r="N668" s="204">
        <v>15000</v>
      </c>
    </row>
    <row r="669" spans="1:14" x14ac:dyDescent="0.25">
      <c r="A669" s="315">
        <v>520.07000000000005</v>
      </c>
      <c r="B669" s="316" t="s">
        <v>434</v>
      </c>
      <c r="C669" s="203"/>
      <c r="D669" s="203"/>
      <c r="E669" s="203"/>
      <c r="F669" s="203"/>
      <c r="G669" s="202">
        <v>10000</v>
      </c>
      <c r="H669" s="202">
        <v>14322</v>
      </c>
      <c r="I669" s="202">
        <v>14500</v>
      </c>
      <c r="J669" s="202">
        <v>10000</v>
      </c>
      <c r="K669" s="204">
        <v>10000</v>
      </c>
      <c r="L669" s="204">
        <v>2192.29</v>
      </c>
      <c r="M669" s="204">
        <f t="shared" si="135"/>
        <v>3288.4349999999999</v>
      </c>
      <c r="N669" s="204">
        <v>10000</v>
      </c>
    </row>
    <row r="670" spans="1:14" x14ac:dyDescent="0.25">
      <c r="A670" s="315">
        <v>520.08000000000004</v>
      </c>
      <c r="B670" s="316" t="s">
        <v>435</v>
      </c>
      <c r="C670" s="203"/>
      <c r="D670" s="203"/>
      <c r="E670" s="203"/>
      <c r="F670" s="203"/>
      <c r="G670" s="202">
        <v>800</v>
      </c>
      <c r="H670" s="202">
        <v>397</v>
      </c>
      <c r="I670" s="202">
        <v>800</v>
      </c>
      <c r="J670" s="202">
        <v>800</v>
      </c>
      <c r="K670" s="204">
        <v>800</v>
      </c>
      <c r="L670" s="204">
        <v>918.48</v>
      </c>
      <c r="M670" s="204">
        <f t="shared" si="135"/>
        <v>1377.72</v>
      </c>
      <c r="N670" s="204">
        <v>1200</v>
      </c>
    </row>
    <row r="671" spans="1:14" x14ac:dyDescent="0.25">
      <c r="A671" s="315">
        <v>520.09</v>
      </c>
      <c r="B671" s="316" t="s">
        <v>180</v>
      </c>
      <c r="C671" s="203"/>
      <c r="D671" s="203"/>
      <c r="E671" s="203"/>
      <c r="F671" s="203"/>
      <c r="G671" s="202">
        <v>5000</v>
      </c>
      <c r="H671" s="202">
        <v>2998</v>
      </c>
      <c r="I671" s="202">
        <v>5000</v>
      </c>
      <c r="J671" s="202">
        <v>5000</v>
      </c>
      <c r="K671" s="204">
        <v>5000</v>
      </c>
      <c r="L671" s="204">
        <v>6110.69</v>
      </c>
      <c r="M671" s="204">
        <f t="shared" si="135"/>
        <v>9166.0349999999999</v>
      </c>
      <c r="N671" s="204">
        <v>8500</v>
      </c>
    </row>
    <row r="672" spans="1:14" x14ac:dyDescent="0.25">
      <c r="A672" s="257">
        <v>520.1</v>
      </c>
      <c r="B672" s="203" t="s">
        <v>673</v>
      </c>
      <c r="C672" s="203"/>
      <c r="D672" s="203"/>
      <c r="E672" s="203"/>
      <c r="F672" s="203"/>
      <c r="G672" s="202">
        <v>500</v>
      </c>
      <c r="H672" s="202">
        <v>78</v>
      </c>
      <c r="I672" s="202">
        <v>200</v>
      </c>
      <c r="J672" s="202">
        <v>200</v>
      </c>
      <c r="K672" s="204">
        <v>200</v>
      </c>
      <c r="L672" s="204">
        <v>3704.28</v>
      </c>
      <c r="M672" s="204">
        <f t="shared" si="135"/>
        <v>5556.42</v>
      </c>
      <c r="N672" s="204">
        <v>5000</v>
      </c>
    </row>
    <row r="673" spans="1:14" x14ac:dyDescent="0.25">
      <c r="A673" s="257">
        <v>520.12</v>
      </c>
      <c r="B673" s="203" t="s">
        <v>204</v>
      </c>
      <c r="C673" s="203"/>
      <c r="D673" s="203"/>
      <c r="E673" s="203"/>
      <c r="F673" s="203"/>
      <c r="G673" s="202">
        <v>3500</v>
      </c>
      <c r="H673" s="202">
        <v>4223</v>
      </c>
      <c r="I673" s="202">
        <v>6000</v>
      </c>
      <c r="J673" s="202">
        <v>6000</v>
      </c>
      <c r="K673" s="204">
        <v>6000</v>
      </c>
      <c r="L673" s="204">
        <v>1985.95</v>
      </c>
      <c r="M673" s="204">
        <f t="shared" si="135"/>
        <v>2978.9250000000002</v>
      </c>
      <c r="N673" s="204">
        <v>6000</v>
      </c>
    </row>
    <row r="674" spans="1:14" x14ac:dyDescent="0.25">
      <c r="A674" s="257">
        <v>520.13</v>
      </c>
      <c r="B674" s="203" t="s">
        <v>807</v>
      </c>
      <c r="C674" s="200"/>
      <c r="D674" s="200"/>
      <c r="E674" s="200"/>
      <c r="F674" s="200"/>
      <c r="G674" s="197"/>
      <c r="H674" s="197"/>
      <c r="I674" s="197"/>
      <c r="J674" s="197"/>
      <c r="K674" s="204"/>
      <c r="L674" s="204"/>
      <c r="M674" s="204"/>
      <c r="N674" s="204">
        <v>3000</v>
      </c>
    </row>
    <row r="675" spans="1:14" s="86" customFormat="1" x14ac:dyDescent="0.25">
      <c r="A675" s="431" t="s">
        <v>137</v>
      </c>
      <c r="B675" s="432"/>
      <c r="C675" s="506"/>
      <c r="D675" s="506"/>
      <c r="E675" s="506"/>
      <c r="F675" s="506"/>
      <c r="G675" s="416">
        <f t="shared" ref="G675:L675" si="137">SUM(G665:G673)</f>
        <v>51340</v>
      </c>
      <c r="H675" s="416">
        <f t="shared" si="137"/>
        <v>41752</v>
      </c>
      <c r="I675" s="416">
        <f t="shared" si="137"/>
        <v>60040</v>
      </c>
      <c r="J675" s="416">
        <f t="shared" si="137"/>
        <v>57000</v>
      </c>
      <c r="K675" s="314">
        <f t="shared" si="137"/>
        <v>57000</v>
      </c>
      <c r="L675" s="417">
        <f t="shared" si="137"/>
        <v>36247.499999999993</v>
      </c>
      <c r="M675" s="136">
        <f t="shared" si="135"/>
        <v>54371.249999999985</v>
      </c>
      <c r="N675" s="136">
        <f>SUM(N665:N674)</f>
        <v>72200</v>
      </c>
    </row>
    <row r="676" spans="1:14" x14ac:dyDescent="0.25">
      <c r="A676" s="257">
        <v>530.01</v>
      </c>
      <c r="B676" s="203" t="s">
        <v>171</v>
      </c>
      <c r="C676" s="203"/>
      <c r="D676" s="203"/>
      <c r="E676" s="203"/>
      <c r="F676" s="203"/>
      <c r="G676" s="202">
        <v>20040</v>
      </c>
      <c r="H676" s="202">
        <v>13904</v>
      </c>
      <c r="I676" s="202">
        <v>21000</v>
      </c>
      <c r="J676" s="204">
        <f>SUM('Bud Req-W&amp;S O&amp;M'!E45)</f>
        <v>16000</v>
      </c>
      <c r="K676" s="204">
        <v>16000</v>
      </c>
      <c r="L676" s="204">
        <v>10803.94</v>
      </c>
      <c r="M676" s="204">
        <f t="shared" si="135"/>
        <v>16205.91</v>
      </c>
      <c r="N676" s="204">
        <v>25000</v>
      </c>
    </row>
    <row r="677" spans="1:14" x14ac:dyDescent="0.25">
      <c r="A677" s="257">
        <v>530.02</v>
      </c>
      <c r="B677" s="203" t="s">
        <v>436</v>
      </c>
      <c r="C677" s="203"/>
      <c r="D677" s="203"/>
      <c r="E677" s="203"/>
      <c r="F677" s="203"/>
      <c r="G677" s="202">
        <v>2000</v>
      </c>
      <c r="H677" s="202">
        <v>934</v>
      </c>
      <c r="I677" s="202">
        <v>2000</v>
      </c>
      <c r="J677" s="204">
        <f>SUM('Bud Req-W&amp;S O&amp;M'!E48)</f>
        <v>3500</v>
      </c>
      <c r="K677" s="204">
        <v>3500</v>
      </c>
      <c r="L677" s="204">
        <v>4023.1</v>
      </c>
      <c r="M677" s="204">
        <f t="shared" si="135"/>
        <v>6034.65</v>
      </c>
      <c r="N677" s="204">
        <v>6000</v>
      </c>
    </row>
    <row r="678" spans="1:14" x14ac:dyDescent="0.25">
      <c r="A678" s="257">
        <v>530.04</v>
      </c>
      <c r="B678" s="203" t="s">
        <v>140</v>
      </c>
      <c r="C678" s="203"/>
      <c r="D678" s="203"/>
      <c r="E678" s="203"/>
      <c r="F678" s="203"/>
      <c r="G678" s="202">
        <v>3000</v>
      </c>
      <c r="H678" s="202">
        <v>2710</v>
      </c>
      <c r="I678" s="202">
        <v>3000</v>
      </c>
      <c r="J678" s="204">
        <f>SUM('Bud Req-W&amp;S O&amp;M'!E49)</f>
        <v>3500</v>
      </c>
      <c r="K678" s="204">
        <v>3500</v>
      </c>
      <c r="L678" s="204">
        <v>1115.05</v>
      </c>
      <c r="M678" s="204">
        <f t="shared" si="135"/>
        <v>1672.5749999999998</v>
      </c>
      <c r="N678" s="204">
        <v>3500</v>
      </c>
    </row>
    <row r="679" spans="1:14" x14ac:dyDescent="0.25">
      <c r="A679" s="203">
        <v>530.04999999999995</v>
      </c>
      <c r="B679" s="257" t="s">
        <v>18</v>
      </c>
      <c r="C679" s="203" t="s">
        <v>18</v>
      </c>
      <c r="D679" s="203"/>
      <c r="E679" s="203"/>
      <c r="F679" s="203"/>
      <c r="G679" s="204">
        <v>600</v>
      </c>
      <c r="H679" s="202">
        <v>7</v>
      </c>
      <c r="I679" s="202">
        <v>200</v>
      </c>
      <c r="J679" s="202">
        <v>300</v>
      </c>
      <c r="K679" s="202">
        <v>300</v>
      </c>
      <c r="L679" s="202">
        <v>113.45</v>
      </c>
      <c r="M679" s="204">
        <f t="shared" si="135"/>
        <v>170.17500000000001</v>
      </c>
      <c r="N679" s="204">
        <v>300</v>
      </c>
    </row>
    <row r="680" spans="1:14" x14ac:dyDescent="0.25">
      <c r="A680" s="257">
        <v>530.05999999999995</v>
      </c>
      <c r="B680" s="203" t="s">
        <v>141</v>
      </c>
      <c r="C680" s="203"/>
      <c r="D680" s="203"/>
      <c r="E680" s="203"/>
      <c r="F680" s="203"/>
      <c r="G680" s="202">
        <v>1000</v>
      </c>
      <c r="H680" s="202">
        <v>1605</v>
      </c>
      <c r="I680" s="202">
        <v>1605</v>
      </c>
      <c r="J680" s="204">
        <f>SUM('Bud Req-W&amp;S O&amp;M'!E51)</f>
        <v>2000</v>
      </c>
      <c r="K680" s="204">
        <v>2000</v>
      </c>
      <c r="L680" s="204">
        <v>21.46</v>
      </c>
      <c r="M680" s="204">
        <f t="shared" si="135"/>
        <v>32.19</v>
      </c>
      <c r="N680" s="204">
        <v>2000</v>
      </c>
    </row>
    <row r="681" spans="1:14" s="263" customFormat="1" x14ac:dyDescent="0.25">
      <c r="A681" s="257">
        <v>530.11</v>
      </c>
      <c r="B681" s="203" t="s">
        <v>2</v>
      </c>
      <c r="C681" s="203"/>
      <c r="D681" s="203"/>
      <c r="E681" s="203"/>
      <c r="F681" s="203"/>
      <c r="G681" s="202">
        <v>23000</v>
      </c>
      <c r="H681" s="202">
        <v>15610</v>
      </c>
      <c r="I681" s="202">
        <v>25370</v>
      </c>
      <c r="J681" s="204">
        <f>SUM('Bud Req-W&amp;S O&amp;M'!E52)</f>
        <v>24000</v>
      </c>
      <c r="K681" s="204">
        <v>24000</v>
      </c>
      <c r="L681" s="204">
        <v>11762.87</v>
      </c>
      <c r="M681" s="204">
        <f t="shared" si="135"/>
        <v>17644.305</v>
      </c>
      <c r="N681" s="204">
        <v>20000</v>
      </c>
    </row>
    <row r="682" spans="1:14" x14ac:dyDescent="0.25">
      <c r="A682" s="257">
        <v>530.13</v>
      </c>
      <c r="B682" s="203" t="s">
        <v>260</v>
      </c>
      <c r="C682" s="203"/>
      <c r="D682" s="203"/>
      <c r="E682" s="203"/>
      <c r="F682" s="203"/>
      <c r="G682" s="202">
        <v>0</v>
      </c>
      <c r="H682" s="202">
        <v>1503</v>
      </c>
      <c r="I682" s="202">
        <v>1503</v>
      </c>
      <c r="J682" s="202">
        <v>3500</v>
      </c>
      <c r="K682" s="204">
        <v>3500</v>
      </c>
      <c r="L682" s="204">
        <v>2696</v>
      </c>
      <c r="M682" s="204">
        <f t="shared" si="135"/>
        <v>4044</v>
      </c>
      <c r="N682" s="204">
        <v>3500</v>
      </c>
    </row>
    <row r="683" spans="1:14" x14ac:dyDescent="0.25">
      <c r="A683" s="315">
        <v>530.20000000000005</v>
      </c>
      <c r="B683" s="316" t="s">
        <v>261</v>
      </c>
      <c r="C683" s="203"/>
      <c r="D683" s="203"/>
      <c r="E683" s="203"/>
      <c r="F683" s="203"/>
      <c r="G683" s="202">
        <v>6000</v>
      </c>
      <c r="H683" s="202">
        <v>4329</v>
      </c>
      <c r="I683" s="202">
        <v>6000</v>
      </c>
      <c r="J683" s="204">
        <f>SUM('Bud Req-W&amp;S O&amp;M'!E56)</f>
        <v>5000</v>
      </c>
      <c r="K683" s="204">
        <v>5000</v>
      </c>
      <c r="L683" s="204">
        <v>118.5</v>
      </c>
      <c r="M683" s="204">
        <f t="shared" si="135"/>
        <v>177.75</v>
      </c>
      <c r="N683" s="204">
        <v>5000</v>
      </c>
    </row>
    <row r="684" spans="1:14" s="86" customFormat="1" x14ac:dyDescent="0.25">
      <c r="A684" s="336" t="s">
        <v>138</v>
      </c>
      <c r="B684" s="406"/>
      <c r="C684" s="506"/>
      <c r="D684" s="506"/>
      <c r="E684" s="506"/>
      <c r="F684" s="506"/>
      <c r="G684" s="416">
        <f t="shared" ref="G684:L684" si="138">SUM(G676:G683)</f>
        <v>55640</v>
      </c>
      <c r="H684" s="416">
        <f t="shared" si="138"/>
        <v>40602</v>
      </c>
      <c r="I684" s="416">
        <f t="shared" si="138"/>
        <v>60678</v>
      </c>
      <c r="J684" s="416">
        <f t="shared" si="138"/>
        <v>57800</v>
      </c>
      <c r="K684" s="136">
        <f t="shared" si="138"/>
        <v>57800</v>
      </c>
      <c r="L684" s="136">
        <f t="shared" si="138"/>
        <v>30654.370000000003</v>
      </c>
      <c r="M684" s="136">
        <f t="shared" si="135"/>
        <v>45981.555000000008</v>
      </c>
      <c r="N684" s="136">
        <f>SUM(N676:N683)</f>
        <v>65300</v>
      </c>
    </row>
    <row r="685" spans="1:14" x14ac:dyDescent="0.25">
      <c r="A685" s="315">
        <v>540.01</v>
      </c>
      <c r="B685" s="316" t="s">
        <v>153</v>
      </c>
      <c r="C685" s="316"/>
      <c r="D685" s="316"/>
      <c r="E685" s="316"/>
      <c r="F685" s="316"/>
      <c r="G685" s="205">
        <v>3000</v>
      </c>
      <c r="H685" s="205">
        <v>1990</v>
      </c>
      <c r="I685" s="205">
        <v>3000</v>
      </c>
      <c r="J685" s="226">
        <f>SUM('Bud Req-W&amp;S O&amp;M'!E58)</f>
        <v>1500</v>
      </c>
      <c r="K685" s="226">
        <v>1500</v>
      </c>
      <c r="L685" s="226">
        <v>402.97</v>
      </c>
      <c r="M685" s="204">
        <f t="shared" si="135"/>
        <v>604.45500000000004</v>
      </c>
      <c r="N685" s="204">
        <v>1500</v>
      </c>
    </row>
    <row r="686" spans="1:14" x14ac:dyDescent="0.25">
      <c r="A686" s="315">
        <v>540.02</v>
      </c>
      <c r="B686" s="316" t="s">
        <v>409</v>
      </c>
      <c r="C686" s="316"/>
      <c r="D686" s="316"/>
      <c r="E686" s="316"/>
      <c r="F686" s="316"/>
      <c r="G686" s="205">
        <v>0</v>
      </c>
      <c r="H686" s="205">
        <v>1517</v>
      </c>
      <c r="I686" s="205">
        <v>1517</v>
      </c>
      <c r="J686" s="205">
        <v>100</v>
      </c>
      <c r="K686" s="226">
        <v>100</v>
      </c>
      <c r="L686" s="226">
        <v>0</v>
      </c>
      <c r="M686" s="204">
        <f t="shared" si="135"/>
        <v>0</v>
      </c>
      <c r="N686" s="204">
        <v>100</v>
      </c>
    </row>
    <row r="687" spans="1:14" s="86" customFormat="1" x14ac:dyDescent="0.25">
      <c r="A687" s="423" t="s">
        <v>219</v>
      </c>
      <c r="B687" s="424"/>
      <c r="C687" s="166"/>
      <c r="D687" s="166"/>
      <c r="E687" s="166"/>
      <c r="F687" s="166"/>
      <c r="G687" s="503">
        <f t="shared" ref="G687:L687" si="139">SUM(G685:G686)</f>
        <v>3000</v>
      </c>
      <c r="H687" s="503">
        <f t="shared" si="139"/>
        <v>3507</v>
      </c>
      <c r="I687" s="503">
        <f t="shared" si="139"/>
        <v>4517</v>
      </c>
      <c r="J687" s="503">
        <f t="shared" si="139"/>
        <v>1600</v>
      </c>
      <c r="K687" s="309">
        <f t="shared" si="139"/>
        <v>1600</v>
      </c>
      <c r="L687" s="422">
        <f t="shared" si="139"/>
        <v>402.97</v>
      </c>
      <c r="M687" s="136">
        <f t="shared" si="135"/>
        <v>604.45500000000004</v>
      </c>
      <c r="N687" s="136">
        <f>SUM(N685:N686)</f>
        <v>1600</v>
      </c>
    </row>
    <row r="688" spans="1:14" x14ac:dyDescent="0.25">
      <c r="A688" s="315">
        <v>550.01</v>
      </c>
      <c r="B688" s="316" t="s">
        <v>173</v>
      </c>
      <c r="C688" s="316"/>
      <c r="D688" s="316"/>
      <c r="E688" s="316"/>
      <c r="F688" s="316"/>
      <c r="G688" s="205">
        <v>800</v>
      </c>
      <c r="H688" s="205">
        <v>15</v>
      </c>
      <c r="I688" s="205">
        <v>200</v>
      </c>
      <c r="J688" s="205">
        <v>500</v>
      </c>
      <c r="K688" s="226">
        <v>500</v>
      </c>
      <c r="L688" s="226">
        <v>869.99</v>
      </c>
      <c r="M688" s="204">
        <f t="shared" si="135"/>
        <v>1304.9850000000001</v>
      </c>
      <c r="N688" s="204">
        <v>1000</v>
      </c>
    </row>
    <row r="689" spans="1:14" x14ac:dyDescent="0.25">
      <c r="A689" s="315">
        <v>550.03</v>
      </c>
      <c r="B689" s="316" t="s">
        <v>438</v>
      </c>
      <c r="C689" s="316"/>
      <c r="D689" s="316"/>
      <c r="E689" s="316"/>
      <c r="F689" s="316"/>
      <c r="G689" s="205">
        <v>12500</v>
      </c>
      <c r="H689" s="205">
        <v>15662</v>
      </c>
      <c r="I689" s="205">
        <v>16000</v>
      </c>
      <c r="J689" s="226">
        <f>SUM('Bud Req-W&amp;S O&amp;M'!E62)</f>
        <v>12000</v>
      </c>
      <c r="K689" s="226">
        <v>12000</v>
      </c>
      <c r="L689" s="226">
        <v>163.16</v>
      </c>
      <c r="M689" s="204">
        <f t="shared" si="135"/>
        <v>244.74</v>
      </c>
      <c r="N689" s="204">
        <v>12000</v>
      </c>
    </row>
    <row r="690" spans="1:14" x14ac:dyDescent="0.25">
      <c r="A690" s="315">
        <v>550.04</v>
      </c>
      <c r="B690" s="316" t="s">
        <v>665</v>
      </c>
      <c r="C690" s="316"/>
      <c r="D690" s="316"/>
      <c r="E690" s="316"/>
      <c r="F690" s="316"/>
      <c r="G690" s="205">
        <v>12000</v>
      </c>
      <c r="H690" s="205">
        <v>6261</v>
      </c>
      <c r="I690" s="205">
        <v>8500</v>
      </c>
      <c r="J690" s="226">
        <f>SUM('Bud Req-W&amp;S O&amp;M'!E63)</f>
        <v>12000</v>
      </c>
      <c r="K690" s="226">
        <v>12000</v>
      </c>
      <c r="L690" s="226">
        <v>3923.13</v>
      </c>
      <c r="M690" s="204">
        <f t="shared" si="135"/>
        <v>5884.6949999999997</v>
      </c>
      <c r="N690" s="204">
        <v>12000</v>
      </c>
    </row>
    <row r="691" spans="1:14" x14ac:dyDescent="0.25">
      <c r="A691" s="315">
        <v>550.05999999999995</v>
      </c>
      <c r="B691" s="316" t="s">
        <v>517</v>
      </c>
      <c r="C691" s="316"/>
      <c r="D691" s="316"/>
      <c r="E691" s="316"/>
      <c r="F691" s="316"/>
      <c r="G691" s="205">
        <v>1000</v>
      </c>
      <c r="H691" s="205">
        <v>13</v>
      </c>
      <c r="I691" s="205">
        <v>500</v>
      </c>
      <c r="J691" s="226">
        <f>SUM('Bud Req-W&amp;S O&amp;M'!E64)</f>
        <v>1500</v>
      </c>
      <c r="K691" s="226">
        <v>1500</v>
      </c>
      <c r="L691" s="226">
        <v>59.98</v>
      </c>
      <c r="M691" s="204">
        <f t="shared" si="135"/>
        <v>89.97</v>
      </c>
      <c r="N691" s="204">
        <v>1500</v>
      </c>
    </row>
    <row r="692" spans="1:14" s="86" customFormat="1" x14ac:dyDescent="0.25">
      <c r="A692" s="423" t="s">
        <v>262</v>
      </c>
      <c r="B692" s="424"/>
      <c r="C692" s="166"/>
      <c r="D692" s="166"/>
      <c r="E692" s="166"/>
      <c r="F692" s="166"/>
      <c r="G692" s="503">
        <f t="shared" ref="G692:L692" si="140">SUM(G688:G691)</f>
        <v>26300</v>
      </c>
      <c r="H692" s="503">
        <f t="shared" si="140"/>
        <v>21951</v>
      </c>
      <c r="I692" s="503">
        <f t="shared" si="140"/>
        <v>25200</v>
      </c>
      <c r="J692" s="503">
        <f t="shared" si="140"/>
        <v>26000</v>
      </c>
      <c r="K692" s="309">
        <f t="shared" si="140"/>
        <v>26000</v>
      </c>
      <c r="L692" s="422">
        <f t="shared" si="140"/>
        <v>5016.26</v>
      </c>
      <c r="M692" s="136">
        <f t="shared" si="135"/>
        <v>7524.39</v>
      </c>
      <c r="N692" s="136">
        <f>SUM(N688:N691)</f>
        <v>26500</v>
      </c>
    </row>
    <row r="693" spans="1:14" x14ac:dyDescent="0.25">
      <c r="A693" s="315">
        <v>560.02</v>
      </c>
      <c r="B693" s="316" t="s">
        <v>150</v>
      </c>
      <c r="C693" s="316"/>
      <c r="D693" s="316"/>
      <c r="E693" s="316"/>
      <c r="F693" s="316"/>
      <c r="G693" s="205">
        <v>500</v>
      </c>
      <c r="H693" s="205">
        <v>0</v>
      </c>
      <c r="I693" s="205">
        <v>500</v>
      </c>
      <c r="J693" s="226">
        <f>SUM('Bud Req-W&amp;S O&amp;M'!E66)</f>
        <v>1000</v>
      </c>
      <c r="K693" s="226">
        <v>1000</v>
      </c>
      <c r="L693" s="226">
        <v>220</v>
      </c>
      <c r="M693" s="204">
        <f t="shared" si="135"/>
        <v>330</v>
      </c>
      <c r="N693" s="204">
        <v>1000</v>
      </c>
    </row>
    <row r="694" spans="1:14" x14ac:dyDescent="0.25">
      <c r="A694" s="315">
        <v>560.09</v>
      </c>
      <c r="B694" s="316" t="s">
        <v>408</v>
      </c>
      <c r="C694" s="316"/>
      <c r="D694" s="316"/>
      <c r="E694" s="316"/>
      <c r="F694" s="316"/>
      <c r="G694" s="205">
        <v>750</v>
      </c>
      <c r="H694" s="205">
        <v>1210</v>
      </c>
      <c r="I694" s="205">
        <v>1350</v>
      </c>
      <c r="J694" s="205">
        <v>1500</v>
      </c>
      <c r="K694" s="226">
        <v>1500</v>
      </c>
      <c r="L694" s="226">
        <v>345</v>
      </c>
      <c r="M694" s="204">
        <f t="shared" si="135"/>
        <v>517.5</v>
      </c>
      <c r="N694" s="204">
        <v>1500</v>
      </c>
    </row>
    <row r="695" spans="1:14" x14ac:dyDescent="0.25">
      <c r="A695" s="315">
        <v>560.1</v>
      </c>
      <c r="B695" s="316" t="s">
        <v>151</v>
      </c>
      <c r="C695" s="316"/>
      <c r="D695" s="316"/>
      <c r="E695" s="316"/>
      <c r="F695" s="316"/>
      <c r="G695" s="205">
        <v>5000</v>
      </c>
      <c r="H695" s="205">
        <v>2504</v>
      </c>
      <c r="I695" s="205">
        <v>5000</v>
      </c>
      <c r="J695" s="226">
        <f>SUM('Bud Req-W&amp;S O&amp;M'!E71)</f>
        <v>7500</v>
      </c>
      <c r="K695" s="226">
        <v>7500</v>
      </c>
      <c r="L695" s="226">
        <v>1878.05</v>
      </c>
      <c r="M695" s="204">
        <f t="shared" si="135"/>
        <v>2817.0749999999998</v>
      </c>
      <c r="N695" s="204">
        <v>10000</v>
      </c>
    </row>
    <row r="696" spans="1:14" s="86" customFormat="1" x14ac:dyDescent="0.25">
      <c r="A696" s="423" t="s">
        <v>149</v>
      </c>
      <c r="B696" s="424"/>
      <c r="C696" s="166"/>
      <c r="D696" s="166"/>
      <c r="E696" s="166"/>
      <c r="F696" s="166"/>
      <c r="G696" s="503">
        <f t="shared" ref="G696:L696" si="141">SUM(G693:G695)</f>
        <v>6250</v>
      </c>
      <c r="H696" s="503">
        <f t="shared" si="141"/>
        <v>3714</v>
      </c>
      <c r="I696" s="503">
        <f t="shared" si="141"/>
        <v>6850</v>
      </c>
      <c r="J696" s="503">
        <f t="shared" si="141"/>
        <v>10000</v>
      </c>
      <c r="K696" s="309">
        <f t="shared" si="141"/>
        <v>10000</v>
      </c>
      <c r="L696" s="422">
        <f t="shared" si="141"/>
        <v>2443.0500000000002</v>
      </c>
      <c r="M696" s="136">
        <f t="shared" si="135"/>
        <v>3664.5750000000003</v>
      </c>
      <c r="N696" s="136">
        <f>SUM(N693:N695)</f>
        <v>12500</v>
      </c>
    </row>
    <row r="697" spans="1:14" x14ac:dyDescent="0.25">
      <c r="A697" s="315">
        <v>580.01</v>
      </c>
      <c r="B697" s="316" t="s">
        <v>153</v>
      </c>
      <c r="C697" s="316"/>
      <c r="D697" s="316"/>
      <c r="E697" s="316"/>
      <c r="F697" s="316"/>
      <c r="G697" s="205">
        <v>30000</v>
      </c>
      <c r="H697" s="205">
        <v>0</v>
      </c>
      <c r="I697" s="205">
        <v>15000</v>
      </c>
      <c r="J697" s="226">
        <f>SUM('Bud Req-W&amp;S O&amp;M'!E75)</f>
        <v>35000</v>
      </c>
      <c r="K697" s="226">
        <v>35000</v>
      </c>
      <c r="L697" s="226">
        <v>13217.5</v>
      </c>
      <c r="M697" s="204">
        <f t="shared" si="135"/>
        <v>19826.25</v>
      </c>
      <c r="N697" s="204">
        <v>35000</v>
      </c>
    </row>
    <row r="698" spans="1:14" x14ac:dyDescent="0.25">
      <c r="A698" s="315">
        <v>580.11</v>
      </c>
      <c r="B698" s="316" t="s">
        <v>439</v>
      </c>
      <c r="C698" s="316"/>
      <c r="D698" s="316"/>
      <c r="E698" s="316"/>
      <c r="F698" s="316"/>
      <c r="G698" s="205">
        <v>12500</v>
      </c>
      <c r="H698" s="205">
        <v>12250</v>
      </c>
      <c r="I698" s="205">
        <v>12500</v>
      </c>
      <c r="J698" s="226">
        <f>SUM('Bud Req-W&amp;S O&amp;M'!E76)</f>
        <v>10500</v>
      </c>
      <c r="K698" s="226">
        <v>10500</v>
      </c>
      <c r="L698" s="226">
        <v>5442.58</v>
      </c>
      <c r="M698" s="204">
        <f t="shared" si="135"/>
        <v>8163.87</v>
      </c>
      <c r="N698" s="204">
        <v>21000</v>
      </c>
    </row>
    <row r="699" spans="1:14" x14ac:dyDescent="0.25">
      <c r="A699" s="315">
        <v>580.14</v>
      </c>
      <c r="B699" s="316" t="s">
        <v>210</v>
      </c>
      <c r="C699" s="316"/>
      <c r="D699" s="316"/>
      <c r="E699" s="316"/>
      <c r="F699" s="316"/>
      <c r="G699" s="205">
        <v>0</v>
      </c>
      <c r="H699" s="205">
        <v>0</v>
      </c>
      <c r="I699" s="205">
        <v>0</v>
      </c>
      <c r="J699" s="205">
        <v>0</v>
      </c>
      <c r="K699" s="226">
        <v>0</v>
      </c>
      <c r="L699" s="226">
        <v>532.25</v>
      </c>
      <c r="M699" s="204">
        <f t="shared" si="135"/>
        <v>798.375</v>
      </c>
      <c r="N699" s="204">
        <v>5000</v>
      </c>
    </row>
    <row r="700" spans="1:14" x14ac:dyDescent="0.25">
      <c r="A700" s="315">
        <v>580.16</v>
      </c>
      <c r="B700" s="316" t="s">
        <v>440</v>
      </c>
      <c r="C700" s="316"/>
      <c r="D700" s="316"/>
      <c r="E700" s="316"/>
      <c r="F700" s="316"/>
      <c r="G700" s="205">
        <v>25000</v>
      </c>
      <c r="H700" s="205">
        <v>13232</v>
      </c>
      <c r="I700" s="205">
        <v>23000</v>
      </c>
      <c r="J700" s="226">
        <f>SUM('Bud Req-W&amp;S O&amp;M'!E78)</f>
        <v>30000</v>
      </c>
      <c r="K700" s="226">
        <v>30000</v>
      </c>
      <c r="L700" s="226">
        <v>11731.35</v>
      </c>
      <c r="M700" s="204">
        <f t="shared" si="135"/>
        <v>17597.025000000001</v>
      </c>
      <c r="N700" s="204">
        <v>30000</v>
      </c>
    </row>
    <row r="701" spans="1:14" s="86" customFormat="1" x14ac:dyDescent="0.25">
      <c r="A701" s="423" t="s">
        <v>263</v>
      </c>
      <c r="B701" s="424"/>
      <c r="C701" s="166"/>
      <c r="D701" s="166"/>
      <c r="E701" s="166"/>
      <c r="F701" s="166"/>
      <c r="G701" s="503">
        <f t="shared" ref="G701:L701" si="142">SUM(G697:G700)</f>
        <v>67500</v>
      </c>
      <c r="H701" s="503">
        <f t="shared" si="142"/>
        <v>25482</v>
      </c>
      <c r="I701" s="507">
        <f t="shared" si="142"/>
        <v>50500</v>
      </c>
      <c r="J701" s="503">
        <f t="shared" si="142"/>
        <v>75500</v>
      </c>
      <c r="K701" s="309">
        <f t="shared" si="142"/>
        <v>75500</v>
      </c>
      <c r="L701" s="422">
        <f t="shared" si="142"/>
        <v>30923.68</v>
      </c>
      <c r="M701" s="136">
        <f t="shared" si="135"/>
        <v>46385.520000000004</v>
      </c>
      <c r="N701" s="136">
        <f>SUM(N697:N700)</f>
        <v>91000</v>
      </c>
    </row>
    <row r="702" spans="1:14" x14ac:dyDescent="0.25">
      <c r="A702" s="315">
        <v>590.02</v>
      </c>
      <c r="B702" s="316" t="s">
        <v>264</v>
      </c>
      <c r="C702" s="316"/>
      <c r="D702" s="316"/>
      <c r="E702" s="316"/>
      <c r="F702" s="316"/>
      <c r="G702" s="205">
        <v>51650</v>
      </c>
      <c r="H702" s="205">
        <v>29700</v>
      </c>
      <c r="I702" s="205">
        <f>+H702+20000</f>
        <v>49700</v>
      </c>
      <c r="J702" s="226">
        <v>29000</v>
      </c>
      <c r="K702" s="226">
        <v>29000</v>
      </c>
      <c r="L702" s="226">
        <v>3475.5</v>
      </c>
      <c r="M702" s="204">
        <f t="shared" si="135"/>
        <v>5213.25</v>
      </c>
      <c r="N702" s="204">
        <v>15000</v>
      </c>
    </row>
    <row r="703" spans="1:14" x14ac:dyDescent="0.25">
      <c r="A703" s="315">
        <v>590.03</v>
      </c>
      <c r="B703" s="316" t="s">
        <v>441</v>
      </c>
      <c r="C703" s="316"/>
      <c r="D703" s="316"/>
      <c r="E703" s="316"/>
      <c r="F703" s="316"/>
      <c r="G703" s="205">
        <v>60640</v>
      </c>
      <c r="H703" s="205">
        <v>45159</v>
      </c>
      <c r="I703" s="205">
        <f>+H703+(1105*4)+6000</f>
        <v>55579</v>
      </c>
      <c r="J703" s="226">
        <f>SUM('Bud Req-W&amp;S O&amp;M'!E84)</f>
        <v>51000</v>
      </c>
      <c r="K703" s="226">
        <v>51000</v>
      </c>
      <c r="L703" s="226">
        <v>20766.07</v>
      </c>
      <c r="M703" s="204">
        <f t="shared" si="135"/>
        <v>31149.105</v>
      </c>
      <c r="N703" s="204">
        <v>30000</v>
      </c>
    </row>
    <row r="704" spans="1:14" x14ac:dyDescent="0.25">
      <c r="A704" s="315">
        <v>590.04</v>
      </c>
      <c r="B704" s="316" t="s">
        <v>442</v>
      </c>
      <c r="C704" s="316"/>
      <c r="D704" s="316"/>
      <c r="E704" s="316"/>
      <c r="F704" s="316"/>
      <c r="G704" s="205">
        <v>51130</v>
      </c>
      <c r="H704" s="205">
        <v>55175</v>
      </c>
      <c r="I704" s="205">
        <v>55175</v>
      </c>
      <c r="J704" s="226">
        <f>SUM('Bud Req-W&amp;S O&amp;M'!E88)</f>
        <v>35400</v>
      </c>
      <c r="K704" s="226">
        <v>53900</v>
      </c>
      <c r="L704" s="226">
        <v>55182.09</v>
      </c>
      <c r="M704" s="204">
        <f t="shared" si="135"/>
        <v>82773.134999999995</v>
      </c>
      <c r="N704" s="204">
        <v>54000</v>
      </c>
    </row>
    <row r="705" spans="1:14" s="86" customFormat="1" x14ac:dyDescent="0.25">
      <c r="A705" s="423" t="s">
        <v>226</v>
      </c>
      <c r="B705" s="424"/>
      <c r="C705" s="166"/>
      <c r="D705" s="166"/>
      <c r="E705" s="166"/>
      <c r="F705" s="166"/>
      <c r="G705" s="503">
        <f t="shared" ref="G705:L705" si="143">SUM(G702:G704)</f>
        <v>163420</v>
      </c>
      <c r="H705" s="503">
        <f t="shared" si="143"/>
        <v>130034</v>
      </c>
      <c r="I705" s="503">
        <f t="shared" si="143"/>
        <v>160454</v>
      </c>
      <c r="J705" s="503">
        <f t="shared" si="143"/>
        <v>115400</v>
      </c>
      <c r="K705" s="309">
        <f t="shared" si="143"/>
        <v>133900</v>
      </c>
      <c r="L705" s="422">
        <f t="shared" si="143"/>
        <v>79423.66</v>
      </c>
      <c r="M705" s="136">
        <f t="shared" si="135"/>
        <v>119135.49</v>
      </c>
      <c r="N705" s="136">
        <f>SUM(N702:N704)</f>
        <v>99000</v>
      </c>
    </row>
    <row r="706" spans="1:14" x14ac:dyDescent="0.25">
      <c r="A706" s="316">
        <v>620.04999999999995</v>
      </c>
      <c r="B706" s="316" t="s">
        <v>265</v>
      </c>
      <c r="C706" s="316"/>
      <c r="D706" s="316"/>
      <c r="E706" s="316"/>
      <c r="F706" s="316"/>
      <c r="G706" s="226">
        <v>120000</v>
      </c>
      <c r="H706" s="226">
        <v>90000</v>
      </c>
      <c r="I706" s="226">
        <v>120000</v>
      </c>
      <c r="J706" s="226">
        <f>SUM('Bud Req-W&amp;S O&amp;M'!E90)</f>
        <v>300000</v>
      </c>
      <c r="K706" s="226">
        <v>287500</v>
      </c>
      <c r="L706" s="226">
        <v>191666.64</v>
      </c>
      <c r="M706" s="204">
        <f t="shared" si="135"/>
        <v>287499.96000000002</v>
      </c>
      <c r="N706" s="204">
        <v>287500</v>
      </c>
    </row>
    <row r="707" spans="1:14" x14ac:dyDescent="0.25">
      <c r="A707" s="315">
        <v>620.1</v>
      </c>
      <c r="B707" s="316" t="s">
        <v>538</v>
      </c>
      <c r="C707" s="316"/>
      <c r="D707" s="316"/>
      <c r="E707" s="316"/>
      <c r="F707" s="316"/>
      <c r="G707" s="226">
        <v>41250</v>
      </c>
      <c r="H707" s="226">
        <v>15125</v>
      </c>
      <c r="I707" s="226">
        <f>15125+10500</f>
        <v>25625</v>
      </c>
      <c r="J707" s="226">
        <f>SUM('Bud Req-W&amp;S O&amp;M'!E91)</f>
        <v>28000</v>
      </c>
      <c r="K707" s="226">
        <v>28000</v>
      </c>
      <c r="L707" s="226">
        <v>4500</v>
      </c>
      <c r="M707" s="204">
        <f t="shared" si="135"/>
        <v>6750</v>
      </c>
      <c r="N707" s="204">
        <v>28000</v>
      </c>
    </row>
    <row r="708" spans="1:14" s="86" customFormat="1" ht="18.75" thickBot="1" x14ac:dyDescent="0.3">
      <c r="A708" s="443" t="s">
        <v>527</v>
      </c>
      <c r="B708" s="341"/>
      <c r="C708" s="508"/>
      <c r="D708" s="508"/>
      <c r="E708" s="508"/>
      <c r="F708" s="508"/>
      <c r="G708" s="307">
        <f t="shared" ref="G708:L708" si="144">SUM(G706:G707)</f>
        <v>161250</v>
      </c>
      <c r="H708" s="307">
        <f t="shared" si="144"/>
        <v>105125</v>
      </c>
      <c r="I708" s="307">
        <f t="shared" si="144"/>
        <v>145625</v>
      </c>
      <c r="J708" s="307">
        <f t="shared" si="144"/>
        <v>328000</v>
      </c>
      <c r="K708" s="307">
        <f t="shared" si="144"/>
        <v>315500</v>
      </c>
      <c r="L708" s="419">
        <f t="shared" si="144"/>
        <v>196166.64</v>
      </c>
      <c r="M708" s="136">
        <f t="shared" si="135"/>
        <v>294249.96000000002</v>
      </c>
      <c r="N708" s="136">
        <f>SUM(N706:N707)</f>
        <v>315500</v>
      </c>
    </row>
    <row r="709" spans="1:14" s="86" customFormat="1" ht="18.75" thickBot="1" x14ac:dyDescent="0.3">
      <c r="A709" s="594" t="s">
        <v>450</v>
      </c>
      <c r="B709" s="595"/>
      <c r="C709" s="94"/>
      <c r="D709" s="94"/>
      <c r="E709" s="94"/>
      <c r="F709" s="94"/>
      <c r="G709" s="314">
        <f t="shared" ref="G709:N709" si="145">SUM(G664+G675+G684+G687+G692+G696+G701+G705+G708)</f>
        <v>1250803</v>
      </c>
      <c r="H709" s="314">
        <f t="shared" si="145"/>
        <v>852676</v>
      </c>
      <c r="I709" s="314">
        <f t="shared" si="145"/>
        <v>1253688.4254000001</v>
      </c>
      <c r="J709" s="314">
        <f t="shared" si="145"/>
        <v>1370976.02924608</v>
      </c>
      <c r="K709" s="314">
        <f t="shared" si="145"/>
        <v>1508702</v>
      </c>
      <c r="L709" s="417">
        <f t="shared" si="145"/>
        <v>966036.66000000015</v>
      </c>
      <c r="M709" s="417">
        <f t="shared" si="145"/>
        <v>1449054.99</v>
      </c>
      <c r="N709" s="417">
        <f t="shared" si="145"/>
        <v>1425963</v>
      </c>
    </row>
    <row r="710" spans="1:14" ht="18.75" thickBot="1" x14ac:dyDescent="0.3">
      <c r="A710" s="127" t="s">
        <v>20</v>
      </c>
      <c r="B710" s="128"/>
      <c r="C710" s="107">
        <v>3414165</v>
      </c>
      <c r="D710" s="453">
        <v>233270400</v>
      </c>
      <c r="E710" s="453">
        <v>3259088</v>
      </c>
      <c r="F710" s="453" t="e">
        <f>SUM(F538+F594+F652)</f>
        <v>#REF!</v>
      </c>
      <c r="G710" s="129" t="e">
        <f t="shared" ref="G710:M710" si="146">SUM(G538+G594+G652+G709)</f>
        <v>#REF!</v>
      </c>
      <c r="H710" s="129" t="e">
        <f t="shared" si="146"/>
        <v>#REF!</v>
      </c>
      <c r="I710" s="129" t="e">
        <f t="shared" si="146"/>
        <v>#REF!</v>
      </c>
      <c r="J710" s="129" t="e">
        <f t="shared" si="146"/>
        <v>#REF!</v>
      </c>
      <c r="K710" s="151">
        <f t="shared" si="146"/>
        <v>7676129</v>
      </c>
      <c r="L710" s="129">
        <f t="shared" si="146"/>
        <v>3532409.5000000005</v>
      </c>
      <c r="M710" s="129">
        <f t="shared" si="146"/>
        <v>5298614.25</v>
      </c>
      <c r="N710" s="129">
        <f>SUM(N538+N594+N652+N709)</f>
        <v>8636137.2458999995</v>
      </c>
    </row>
    <row r="711" spans="1:14" ht="18.75" thickBot="1" x14ac:dyDescent="0.3">
      <c r="A711" s="596" t="s">
        <v>42</v>
      </c>
      <c r="B711" s="597"/>
      <c r="C711" s="119"/>
      <c r="D711" s="103"/>
      <c r="E711" s="103"/>
      <c r="F711" s="455" t="e">
        <f t="shared" ref="F711:N711" si="147">(F492-F710)</f>
        <v>#REF!</v>
      </c>
      <c r="G711" s="104" t="e">
        <f t="shared" si="147"/>
        <v>#REF!</v>
      </c>
      <c r="H711" s="104" t="e">
        <f t="shared" si="147"/>
        <v>#REF!</v>
      </c>
      <c r="I711" s="151" t="e">
        <f t="shared" si="147"/>
        <v>#REF!</v>
      </c>
      <c r="J711" s="151" t="e">
        <f t="shared" si="147"/>
        <v>#REF!</v>
      </c>
      <c r="K711" s="152">
        <f t="shared" si="147"/>
        <v>253603</v>
      </c>
      <c r="L711" s="152">
        <f t="shared" si="147"/>
        <v>2358502.7799999989</v>
      </c>
      <c r="M711" s="152">
        <f t="shared" si="147"/>
        <v>3537754.17</v>
      </c>
      <c r="N711" s="152">
        <f t="shared" si="147"/>
        <v>18110.754100000486</v>
      </c>
    </row>
    <row r="712" spans="1:14" x14ac:dyDescent="0.25">
      <c r="A712" s="394"/>
      <c r="B712" s="395" t="s">
        <v>772</v>
      </c>
      <c r="C712" s="130"/>
      <c r="D712" s="130"/>
      <c r="E712" s="130"/>
      <c r="F712" s="130"/>
      <c r="G712" s="454"/>
      <c r="H712" s="454"/>
      <c r="I712" s="132" t="str">
        <f>+I2</f>
        <v xml:space="preserve"> Estimated</v>
      </c>
      <c r="J712" s="132" t="s">
        <v>778</v>
      </c>
      <c r="K712" s="132" t="s">
        <v>767</v>
      </c>
      <c r="L712" s="359"/>
      <c r="M712" s="379" t="s">
        <v>655</v>
      </c>
      <c r="N712" s="87" t="s">
        <v>802</v>
      </c>
    </row>
    <row r="713" spans="1:14" x14ac:dyDescent="0.25">
      <c r="A713" s="225"/>
      <c r="B713" s="131" t="s">
        <v>30</v>
      </c>
      <c r="C713" s="122" t="s">
        <v>23</v>
      </c>
      <c r="D713" s="122" t="s">
        <v>26</v>
      </c>
      <c r="E713" s="122" t="s">
        <v>25</v>
      </c>
      <c r="F713" s="122" t="s">
        <v>338</v>
      </c>
      <c r="G713" s="132" t="str">
        <f>+G3</f>
        <v>Budget 2016-17</v>
      </c>
      <c r="H713" s="132" t="str">
        <f>+H3</f>
        <v>Actual 5/31/17</v>
      </c>
      <c r="I713" s="234">
        <f>+I3</f>
        <v>43008</v>
      </c>
      <c r="J713" s="132" t="str">
        <f>+J3</f>
        <v>Budget 2017-18</v>
      </c>
      <c r="K713" s="132" t="s">
        <v>766</v>
      </c>
      <c r="L713" s="83" t="s">
        <v>779</v>
      </c>
      <c r="M713" s="380">
        <v>43373</v>
      </c>
      <c r="N713" s="379" t="s">
        <v>803</v>
      </c>
    </row>
    <row r="714" spans="1:14" x14ac:dyDescent="0.25">
      <c r="A714" s="186"/>
      <c r="B714" s="316" t="s">
        <v>915</v>
      </c>
      <c r="C714" s="530"/>
      <c r="D714" s="530"/>
      <c r="E714" s="530"/>
      <c r="F714" s="531">
        <v>671673</v>
      </c>
      <c r="G714" s="229">
        <v>1521950</v>
      </c>
      <c r="H714" s="229"/>
      <c r="I714" s="229">
        <v>0</v>
      </c>
      <c r="J714" s="229">
        <f>+G727</f>
        <v>1334946</v>
      </c>
      <c r="K714" s="226">
        <v>1334946</v>
      </c>
      <c r="L714" s="226">
        <v>1826836.57</v>
      </c>
      <c r="M714" s="226"/>
      <c r="N714" s="226"/>
    </row>
    <row r="715" spans="1:14" x14ac:dyDescent="0.25">
      <c r="A715" s="186"/>
      <c r="B715" s="386"/>
      <c r="C715" s="166"/>
      <c r="D715" s="166"/>
      <c r="E715" s="166"/>
      <c r="F715" s="248"/>
      <c r="G715" s="246"/>
      <c r="H715" s="246"/>
      <c r="I715" s="246"/>
      <c r="J715" s="246"/>
      <c r="K715" s="246"/>
      <c r="L715" s="246"/>
      <c r="M715" s="246"/>
      <c r="N715" s="246"/>
    </row>
    <row r="716" spans="1:14" x14ac:dyDescent="0.25">
      <c r="A716" s="186"/>
      <c r="B716" s="186" t="s">
        <v>34</v>
      </c>
      <c r="C716" s="220">
        <v>824000</v>
      </c>
      <c r="D716" s="532">
        <v>166664</v>
      </c>
      <c r="E716" s="532">
        <v>166664</v>
      </c>
      <c r="F716" s="185"/>
      <c r="G716" s="43"/>
      <c r="H716" s="43" t="s">
        <v>688</v>
      </c>
      <c r="I716" s="43"/>
      <c r="J716" s="246"/>
      <c r="K716" s="43"/>
      <c r="L716" s="43"/>
      <c r="M716" s="43"/>
      <c r="N716" s="43"/>
    </row>
    <row r="717" spans="1:14" x14ac:dyDescent="0.25">
      <c r="A717" s="186"/>
      <c r="B717" s="529" t="s">
        <v>32</v>
      </c>
      <c r="C717" s="186"/>
      <c r="D717" s="186"/>
      <c r="E717" s="186"/>
      <c r="F717" s="185">
        <v>249996</v>
      </c>
      <c r="G717" s="229">
        <v>249996</v>
      </c>
      <c r="H717" s="229">
        <v>166664</v>
      </c>
      <c r="I717" s="229">
        <v>249996</v>
      </c>
      <c r="J717" s="229">
        <v>500000</v>
      </c>
      <c r="K717" s="226">
        <v>300000</v>
      </c>
      <c r="L717" s="226">
        <v>200000</v>
      </c>
      <c r="M717" s="226">
        <f>(L717/8)*12</f>
        <v>300000</v>
      </c>
      <c r="N717" s="226">
        <v>300000</v>
      </c>
    </row>
    <row r="718" spans="1:14" x14ac:dyDescent="0.25">
      <c r="A718" s="186"/>
      <c r="B718" s="168" t="s">
        <v>295</v>
      </c>
      <c r="C718" s="186"/>
      <c r="D718" s="186"/>
      <c r="E718" s="186"/>
      <c r="F718" s="185">
        <v>93377</v>
      </c>
      <c r="G718" s="201">
        <v>96000</v>
      </c>
      <c r="H718" s="201">
        <v>64000</v>
      </c>
      <c r="I718" s="201">
        <v>96000</v>
      </c>
      <c r="J718" s="201">
        <f>8000*12</f>
        <v>96000</v>
      </c>
      <c r="K718" s="226">
        <v>96000</v>
      </c>
      <c r="L718" s="226">
        <v>64000</v>
      </c>
      <c r="M718" s="226">
        <f>(L718/8)*12</f>
        <v>96000</v>
      </c>
      <c r="N718" s="226">
        <v>96000</v>
      </c>
    </row>
    <row r="719" spans="1:14" x14ac:dyDescent="0.25">
      <c r="A719" s="186"/>
      <c r="B719" s="228" t="s">
        <v>60</v>
      </c>
      <c r="C719" s="186"/>
      <c r="D719" s="186"/>
      <c r="E719" s="186"/>
      <c r="F719" s="185">
        <v>2200</v>
      </c>
      <c r="G719" s="230">
        <v>2000</v>
      </c>
      <c r="H719" s="230">
        <v>929</v>
      </c>
      <c r="I719" s="230">
        <v>2000</v>
      </c>
      <c r="J719" s="230">
        <v>3000</v>
      </c>
      <c r="K719" s="226">
        <v>3000</v>
      </c>
      <c r="L719" s="226">
        <v>1090.8499999999999</v>
      </c>
      <c r="M719" s="226">
        <f>(L719/8)*12</f>
        <v>1636.2749999999999</v>
      </c>
      <c r="N719" s="226">
        <v>3000</v>
      </c>
    </row>
    <row r="720" spans="1:14" x14ac:dyDescent="0.25">
      <c r="A720" s="186"/>
      <c r="B720" s="316" t="s">
        <v>33</v>
      </c>
      <c r="C720" s="186"/>
      <c r="D720" s="186"/>
      <c r="E720" s="186"/>
      <c r="F720" s="185">
        <f t="shared" ref="F720:N720" si="148">SUM(F717:F719)</f>
        <v>345573</v>
      </c>
      <c r="G720" s="226">
        <f t="shared" si="148"/>
        <v>347996</v>
      </c>
      <c r="H720" s="226">
        <f t="shared" si="148"/>
        <v>231593</v>
      </c>
      <c r="I720" s="226">
        <f t="shared" si="148"/>
        <v>347996</v>
      </c>
      <c r="J720" s="226">
        <f t="shared" si="148"/>
        <v>599000</v>
      </c>
      <c r="K720" s="226">
        <f t="shared" si="148"/>
        <v>399000</v>
      </c>
      <c r="L720" s="226">
        <f t="shared" si="148"/>
        <v>265090.84999999998</v>
      </c>
      <c r="M720" s="226">
        <f t="shared" si="148"/>
        <v>397636.27500000002</v>
      </c>
      <c r="N720" s="226">
        <f t="shared" si="148"/>
        <v>399000</v>
      </c>
    </row>
    <row r="721" spans="1:14" x14ac:dyDescent="0.25">
      <c r="A721" s="186"/>
      <c r="B721" s="186"/>
      <c r="C721" s="186"/>
      <c r="D721" s="186"/>
      <c r="E721" s="186"/>
      <c r="F721" s="185"/>
      <c r="G721" s="43"/>
      <c r="H721" s="43"/>
      <c r="I721" s="43"/>
      <c r="J721" s="43"/>
      <c r="K721" s="43"/>
      <c r="L721" s="43"/>
      <c r="M721" s="43"/>
      <c r="N721" s="43"/>
    </row>
    <row r="722" spans="1:14" x14ac:dyDescent="0.25">
      <c r="A722" s="186"/>
      <c r="B722" s="186" t="s">
        <v>35</v>
      </c>
      <c r="C722" s="186"/>
      <c r="D722" s="186"/>
      <c r="E722" s="186"/>
      <c r="F722" s="185"/>
      <c r="G722" s="43"/>
      <c r="H722" s="43"/>
      <c r="I722" s="43"/>
      <c r="J722" s="43"/>
      <c r="K722" s="43"/>
      <c r="L722" s="43"/>
      <c r="M722" s="43"/>
      <c r="N722" s="43"/>
    </row>
    <row r="723" spans="1:14" x14ac:dyDescent="0.25">
      <c r="A723" s="186"/>
      <c r="B723" s="316" t="s">
        <v>36</v>
      </c>
      <c r="C723" s="316"/>
      <c r="D723" s="316"/>
      <c r="E723" s="316"/>
      <c r="F723" s="327">
        <v>440000</v>
      </c>
      <c r="G723" s="226">
        <v>500000</v>
      </c>
      <c r="H723" s="226">
        <v>49861</v>
      </c>
      <c r="I723" s="226">
        <v>500000</v>
      </c>
      <c r="J723" s="226">
        <v>500000</v>
      </c>
      <c r="K723" s="226">
        <v>500000</v>
      </c>
      <c r="L723" s="226">
        <v>247881.26</v>
      </c>
      <c r="M723" s="226">
        <f>(L723/8)*12</f>
        <v>371821.89</v>
      </c>
      <c r="N723" s="226">
        <v>500000</v>
      </c>
    </row>
    <row r="724" spans="1:14" x14ac:dyDescent="0.25">
      <c r="A724" s="186"/>
      <c r="B724" s="316" t="s">
        <v>37</v>
      </c>
      <c r="C724" s="316"/>
      <c r="D724" s="316"/>
      <c r="E724" s="316"/>
      <c r="F724" s="327">
        <v>35000</v>
      </c>
      <c r="G724" s="226">
        <v>35000</v>
      </c>
      <c r="H724" s="226">
        <v>14450</v>
      </c>
      <c r="I724" s="226">
        <v>35000</v>
      </c>
      <c r="J724" s="226">
        <v>30000</v>
      </c>
      <c r="K724" s="226">
        <v>30000</v>
      </c>
      <c r="L724" s="226">
        <v>0</v>
      </c>
      <c r="M724" s="226">
        <v>0</v>
      </c>
      <c r="N724" s="226">
        <v>30000</v>
      </c>
    </row>
    <row r="725" spans="1:14" x14ac:dyDescent="0.25">
      <c r="A725" s="186"/>
      <c r="B725" s="316" t="s">
        <v>39</v>
      </c>
      <c r="C725" s="316"/>
      <c r="D725" s="316"/>
      <c r="E725" s="316"/>
      <c r="F725" s="327">
        <f t="shared" ref="F725:N725" si="149">SUM(F723:F724)</f>
        <v>475000</v>
      </c>
      <c r="G725" s="226">
        <f t="shared" si="149"/>
        <v>535000</v>
      </c>
      <c r="H725" s="226">
        <f t="shared" si="149"/>
        <v>64311</v>
      </c>
      <c r="I725" s="226">
        <f t="shared" si="149"/>
        <v>535000</v>
      </c>
      <c r="J725" s="226">
        <f t="shared" si="149"/>
        <v>530000</v>
      </c>
      <c r="K725" s="226">
        <f t="shared" si="149"/>
        <v>530000</v>
      </c>
      <c r="L725" s="226">
        <f t="shared" si="149"/>
        <v>247881.26</v>
      </c>
      <c r="M725" s="226">
        <f t="shared" si="149"/>
        <v>371821.89</v>
      </c>
      <c r="N725" s="226">
        <f t="shared" si="149"/>
        <v>530000</v>
      </c>
    </row>
    <row r="726" spans="1:14" x14ac:dyDescent="0.25">
      <c r="A726" s="186"/>
      <c r="B726" s="186"/>
      <c r="C726" s="186"/>
      <c r="D726" s="186"/>
      <c r="E726" s="186"/>
      <c r="F726" s="185"/>
      <c r="G726" s="43"/>
      <c r="H726" s="43"/>
      <c r="I726" s="43"/>
      <c r="J726" s="43"/>
      <c r="K726" s="43"/>
      <c r="L726" s="242"/>
      <c r="M726" s="242"/>
      <c r="N726" s="43"/>
    </row>
    <row r="727" spans="1:14" x14ac:dyDescent="0.25">
      <c r="A727" s="186"/>
      <c r="B727" s="111" t="s">
        <v>40</v>
      </c>
      <c r="C727" s="111"/>
      <c r="D727" s="111"/>
      <c r="E727" s="111"/>
      <c r="F727" s="156">
        <f t="shared" ref="F727:L727" si="150">SUM(F714+F720-F725)</f>
        <v>542246</v>
      </c>
      <c r="G727" s="124">
        <f t="shared" si="150"/>
        <v>1334946</v>
      </c>
      <c r="H727" s="124">
        <f t="shared" si="150"/>
        <v>167282</v>
      </c>
      <c r="I727" s="124">
        <f t="shared" si="150"/>
        <v>-187004</v>
      </c>
      <c r="J727" s="124">
        <f t="shared" si="150"/>
        <v>1403946</v>
      </c>
      <c r="K727" s="124">
        <f t="shared" si="150"/>
        <v>1203946</v>
      </c>
      <c r="L727" s="124">
        <f t="shared" si="150"/>
        <v>1844046.16</v>
      </c>
      <c r="M727" s="124"/>
      <c r="N727" s="43"/>
    </row>
    <row r="728" spans="1:14" x14ac:dyDescent="0.25">
      <c r="A728" s="186"/>
      <c r="B728" s="186"/>
      <c r="C728" s="186"/>
      <c r="D728" s="186"/>
      <c r="E728" s="186"/>
      <c r="F728" s="220"/>
      <c r="G728" s="43"/>
      <c r="H728" s="43"/>
      <c r="I728" s="43"/>
      <c r="J728" s="43"/>
      <c r="K728" s="186"/>
      <c r="L728" s="242"/>
      <c r="M728" s="43"/>
      <c r="N728" s="43"/>
    </row>
    <row r="729" spans="1:14" x14ac:dyDescent="0.25">
      <c r="A729" s="1"/>
      <c r="B729" s="1"/>
      <c r="C729" s="1"/>
      <c r="D729" s="1"/>
      <c r="E729" s="1"/>
      <c r="F729" s="219"/>
      <c r="G729" s="187"/>
      <c r="H729" s="187"/>
      <c r="I729" s="187"/>
      <c r="J729" s="187"/>
    </row>
    <row r="730" spans="1:14" x14ac:dyDescent="0.25">
      <c r="A730" s="217" t="s">
        <v>776</v>
      </c>
      <c r="B730" s="125"/>
      <c r="C730" s="217"/>
      <c r="D730" s="217"/>
      <c r="E730" s="217"/>
      <c r="F730" s="125"/>
      <c r="G730" s="217"/>
      <c r="H730" s="122"/>
      <c r="I730" s="125" t="str">
        <f>+I2</f>
        <v xml:space="preserve"> Estimated</v>
      </c>
      <c r="J730" s="125" t="s">
        <v>778</v>
      </c>
      <c r="K730" s="125" t="s">
        <v>765</v>
      </c>
      <c r="L730" s="79"/>
      <c r="M730" s="87" t="s">
        <v>655</v>
      </c>
      <c r="N730" s="87" t="s">
        <v>802</v>
      </c>
    </row>
    <row r="731" spans="1:14" x14ac:dyDescent="0.25">
      <c r="A731" s="224"/>
      <c r="B731" s="224"/>
      <c r="C731" s="122" t="s">
        <v>23</v>
      </c>
      <c r="D731" s="122" t="s">
        <v>26</v>
      </c>
      <c r="E731" s="122" t="s">
        <v>25</v>
      </c>
      <c r="F731" s="122" t="s">
        <v>338</v>
      </c>
      <c r="G731" s="133" t="str">
        <f>+G3</f>
        <v>Budget 2016-17</v>
      </c>
      <c r="H731" s="125" t="str">
        <f>+H3</f>
        <v>Actual 5/31/17</v>
      </c>
      <c r="I731" s="216">
        <f>+I3</f>
        <v>43008</v>
      </c>
      <c r="J731" s="133" t="str">
        <f>+J3</f>
        <v>Budget 2017-18</v>
      </c>
      <c r="K731" s="125" t="s">
        <v>766</v>
      </c>
      <c r="L731" s="83" t="s">
        <v>779</v>
      </c>
      <c r="M731" s="458">
        <v>43373</v>
      </c>
      <c r="N731" s="379" t="s">
        <v>803</v>
      </c>
    </row>
    <row r="732" spans="1:14" x14ac:dyDescent="0.25">
      <c r="A732" s="1"/>
      <c r="B732" s="1" t="s">
        <v>34</v>
      </c>
      <c r="C732" s="1"/>
      <c r="D732" s="1"/>
      <c r="E732" s="1"/>
      <c r="F732" s="1"/>
      <c r="G732" s="1"/>
      <c r="H732" s="1"/>
      <c r="I732" s="188"/>
      <c r="J732" s="188"/>
    </row>
    <row r="733" spans="1:14" x14ac:dyDescent="0.25">
      <c r="A733" s="203"/>
      <c r="B733" s="203" t="s">
        <v>534</v>
      </c>
      <c r="C733" s="344">
        <v>0</v>
      </c>
      <c r="D733" s="344"/>
      <c r="E733" s="349"/>
      <c r="F733" s="344">
        <v>275000</v>
      </c>
      <c r="G733" s="204">
        <v>0</v>
      </c>
      <c r="H733" s="204">
        <v>0</v>
      </c>
      <c r="I733" s="204">
        <v>0</v>
      </c>
      <c r="J733" s="204">
        <v>0</v>
      </c>
      <c r="K733" s="204">
        <v>0</v>
      </c>
      <c r="L733" s="204">
        <v>5275</v>
      </c>
      <c r="M733" s="204">
        <v>5275</v>
      </c>
      <c r="N733" s="204">
        <v>0</v>
      </c>
    </row>
    <row r="734" spans="1:14" ht="18.75" thickBot="1" x14ac:dyDescent="0.3">
      <c r="A734" s="203">
        <v>370.1</v>
      </c>
      <c r="B734" s="203" t="s">
        <v>666</v>
      </c>
      <c r="C734" s="344">
        <v>0</v>
      </c>
      <c r="D734" s="344"/>
      <c r="E734" s="349"/>
      <c r="F734" s="344">
        <v>0</v>
      </c>
      <c r="G734" s="345">
        <v>316250</v>
      </c>
      <c r="H734" s="204">
        <v>12750</v>
      </c>
      <c r="I734" s="204">
        <f>H734+10000</f>
        <v>22750</v>
      </c>
      <c r="J734" s="345">
        <v>25000</v>
      </c>
      <c r="K734" s="204">
        <v>25000</v>
      </c>
      <c r="L734" s="204">
        <v>0</v>
      </c>
      <c r="M734" s="204">
        <v>0</v>
      </c>
      <c r="N734" s="207">
        <v>0</v>
      </c>
    </row>
    <row r="735" spans="1:14" ht="18.75" thickBot="1" x14ac:dyDescent="0.3">
      <c r="A735" s="598" t="s">
        <v>774</v>
      </c>
      <c r="B735" s="599"/>
      <c r="C735" s="110">
        <v>0</v>
      </c>
      <c r="D735" s="110"/>
      <c r="E735" s="110"/>
      <c r="F735" s="110">
        <f t="shared" ref="F735:N735" si="151">SUM(F733:F734)</f>
        <v>275000</v>
      </c>
      <c r="G735" s="533">
        <f t="shared" si="151"/>
        <v>316250</v>
      </c>
      <c r="H735" s="533">
        <f t="shared" si="151"/>
        <v>12750</v>
      </c>
      <c r="I735" s="533">
        <f t="shared" si="151"/>
        <v>22750</v>
      </c>
      <c r="J735" s="533">
        <f t="shared" si="151"/>
        <v>25000</v>
      </c>
      <c r="K735" s="533">
        <f t="shared" si="151"/>
        <v>25000</v>
      </c>
      <c r="L735" s="533">
        <f t="shared" si="151"/>
        <v>5275</v>
      </c>
      <c r="M735" s="534">
        <f t="shared" si="151"/>
        <v>5275</v>
      </c>
      <c r="N735" s="104">
        <f t="shared" si="151"/>
        <v>0</v>
      </c>
    </row>
    <row r="736" spans="1:14" x14ac:dyDescent="0.25">
      <c r="A736" s="94"/>
      <c r="B736" s="94"/>
      <c r="C736" s="95"/>
      <c r="D736" s="95"/>
      <c r="E736" s="95"/>
      <c r="F736" s="95"/>
      <c r="G736" s="116"/>
      <c r="H736" s="116"/>
      <c r="I736" s="116"/>
      <c r="J736" s="44"/>
    </row>
    <row r="737" spans="1:14" x14ac:dyDescent="0.25">
      <c r="A737" s="1"/>
      <c r="B737" s="1" t="s">
        <v>773</v>
      </c>
      <c r="C737" s="1"/>
      <c r="D737" s="1"/>
      <c r="E737" s="1"/>
      <c r="F737" s="1"/>
      <c r="G737" s="187"/>
      <c r="H737" s="187"/>
      <c r="I737" s="187"/>
      <c r="J737" s="44"/>
    </row>
    <row r="738" spans="1:14" x14ac:dyDescent="0.25">
      <c r="A738" s="203" t="s">
        <v>799</v>
      </c>
      <c r="B738" s="203" t="s">
        <v>534</v>
      </c>
      <c r="C738" s="344">
        <v>0</v>
      </c>
      <c r="D738" s="344"/>
      <c r="E738" s="344"/>
      <c r="F738" s="344">
        <v>275000</v>
      </c>
      <c r="G738" s="204"/>
      <c r="H738" s="204"/>
      <c r="I738" s="204"/>
      <c r="J738" s="204"/>
      <c r="K738" s="203">
        <v>0</v>
      </c>
      <c r="L738" s="204">
        <v>-60996.63</v>
      </c>
      <c r="M738" s="204"/>
      <c r="N738" s="204">
        <v>0</v>
      </c>
    </row>
    <row r="739" spans="1:14" x14ac:dyDescent="0.25">
      <c r="A739" s="203"/>
      <c r="B739" s="203" t="s">
        <v>689</v>
      </c>
      <c r="C739" s="344">
        <v>0</v>
      </c>
      <c r="D739" s="344"/>
      <c r="E739" s="344"/>
      <c r="F739" s="344">
        <v>0</v>
      </c>
      <c r="G739" s="204">
        <v>0</v>
      </c>
      <c r="H739" s="204">
        <v>0</v>
      </c>
      <c r="I739" s="204">
        <v>0</v>
      </c>
      <c r="J739" s="204">
        <v>0</v>
      </c>
      <c r="K739" s="204">
        <v>0</v>
      </c>
      <c r="L739" s="204"/>
      <c r="M739" s="204"/>
      <c r="N739" s="204">
        <v>0</v>
      </c>
    </row>
    <row r="740" spans="1:14" ht="18.75" thickBot="1" x14ac:dyDescent="0.3">
      <c r="A740" s="199" t="s">
        <v>677</v>
      </c>
      <c r="B740" s="199" t="s">
        <v>667</v>
      </c>
      <c r="C740" s="344">
        <v>0</v>
      </c>
      <c r="D740" s="344"/>
      <c r="E740" s="349"/>
      <c r="F740" s="344">
        <v>0</v>
      </c>
      <c r="G740" s="204">
        <v>316250</v>
      </c>
      <c r="H740" s="204">
        <f>157+74+12750</f>
        <v>12981</v>
      </c>
      <c r="I740" s="204">
        <v>22981</v>
      </c>
      <c r="J740" s="204">
        <v>25000</v>
      </c>
      <c r="K740" s="207">
        <v>25000</v>
      </c>
      <c r="L740" s="207"/>
      <c r="M740" s="207"/>
      <c r="N740" s="207">
        <v>0</v>
      </c>
    </row>
    <row r="741" spans="1:14" ht="18.75" thickBot="1" x14ac:dyDescent="0.3">
      <c r="A741" s="596" t="s">
        <v>12</v>
      </c>
      <c r="B741" s="597"/>
      <c r="C741" s="110">
        <f>SUM(C738:C740)</f>
        <v>0</v>
      </c>
      <c r="D741" s="110"/>
      <c r="E741" s="110"/>
      <c r="F741" s="110">
        <f t="shared" ref="F741:L741" si="152">SUM(F738:F740)</f>
        <v>275000</v>
      </c>
      <c r="G741" s="533">
        <f t="shared" si="152"/>
        <v>316250</v>
      </c>
      <c r="H741" s="533">
        <f t="shared" si="152"/>
        <v>12981</v>
      </c>
      <c r="I741" s="533">
        <f t="shared" si="152"/>
        <v>22981</v>
      </c>
      <c r="J741" s="533">
        <f t="shared" si="152"/>
        <v>25000</v>
      </c>
      <c r="K741" s="104">
        <f t="shared" si="152"/>
        <v>25000</v>
      </c>
      <c r="L741" s="104">
        <f t="shared" si="152"/>
        <v>-60996.63</v>
      </c>
      <c r="M741" s="104"/>
      <c r="N741" s="104">
        <f>SUM(N738:N740)</f>
        <v>0</v>
      </c>
    </row>
    <row r="742" spans="1:14" x14ac:dyDescent="0.25">
      <c r="A742" s="1"/>
      <c r="B742" s="1"/>
      <c r="C742" s="1"/>
      <c r="D742" s="1"/>
      <c r="E742" s="1"/>
      <c r="F742" s="219"/>
      <c r="G742" s="187"/>
      <c r="H742" s="187"/>
      <c r="I742" s="187"/>
      <c r="J742" s="187"/>
    </row>
    <row r="743" spans="1:14" x14ac:dyDescent="0.25">
      <c r="A743" s="1"/>
      <c r="B743" s="1"/>
      <c r="C743" s="1"/>
      <c r="D743" s="1"/>
      <c r="E743" s="1"/>
      <c r="F743" s="219"/>
      <c r="G743" s="187"/>
      <c r="H743" s="187"/>
      <c r="I743" s="187"/>
      <c r="J743" s="187"/>
    </row>
    <row r="744" spans="1:14" x14ac:dyDescent="0.25">
      <c r="A744" s="1"/>
      <c r="B744" s="1"/>
      <c r="C744" s="1"/>
      <c r="D744" s="1"/>
      <c r="E744" s="1"/>
      <c r="F744" s="219"/>
      <c r="G744" s="187"/>
      <c r="H744" s="187"/>
      <c r="I744" s="187"/>
      <c r="J744" s="187"/>
    </row>
    <row r="745" spans="1:14" x14ac:dyDescent="0.25">
      <c r="A745" s="1"/>
      <c r="B745" s="1"/>
      <c r="C745" s="1"/>
      <c r="D745" s="1"/>
      <c r="E745" s="1"/>
      <c r="F745" s="219"/>
      <c r="G745" s="187"/>
      <c r="H745" s="187"/>
      <c r="I745" s="187"/>
      <c r="J745" s="187"/>
    </row>
    <row r="746" spans="1:14" x14ac:dyDescent="0.25">
      <c r="A746" s="1"/>
      <c r="B746" s="1"/>
      <c r="C746" s="1"/>
      <c r="D746" s="1"/>
      <c r="E746" s="1"/>
      <c r="F746" s="219"/>
      <c r="G746" s="187"/>
      <c r="H746" s="187"/>
      <c r="I746" s="187"/>
      <c r="J746" s="187"/>
    </row>
    <row r="747" spans="1:14" x14ac:dyDescent="0.25">
      <c r="A747" s="1"/>
      <c r="B747" s="1"/>
      <c r="C747" s="1"/>
      <c r="D747" s="1"/>
      <c r="E747" s="1"/>
      <c r="F747" s="219"/>
      <c r="G747" s="187"/>
      <c r="H747" s="187"/>
      <c r="I747" s="187"/>
      <c r="J747" s="187"/>
    </row>
    <row r="748" spans="1:14" x14ac:dyDescent="0.25">
      <c r="A748" s="587"/>
      <c r="B748" s="587"/>
      <c r="C748" s="587"/>
      <c r="D748" s="587"/>
      <c r="E748" s="587"/>
      <c r="F748" s="587"/>
      <c r="G748" s="587"/>
      <c r="H748" s="587"/>
      <c r="I748" s="134"/>
      <c r="J748" s="188"/>
    </row>
    <row r="749" spans="1:14" x14ac:dyDescent="0.25">
      <c r="A749" s="173" t="s">
        <v>678</v>
      </c>
      <c r="B749" s="174"/>
      <c r="C749" s="217"/>
      <c r="D749" s="217"/>
      <c r="E749" s="217"/>
      <c r="F749" s="125"/>
      <c r="G749" s="211"/>
      <c r="H749" s="79"/>
      <c r="I749" s="80" t="str">
        <f>+I2</f>
        <v xml:space="preserve"> Estimated</v>
      </c>
      <c r="J749" s="80" t="s">
        <v>778</v>
      </c>
      <c r="K749" s="80" t="s">
        <v>767</v>
      </c>
      <c r="L749" s="79"/>
      <c r="M749" s="87" t="s">
        <v>655</v>
      </c>
      <c r="N749" s="87" t="s">
        <v>802</v>
      </c>
    </row>
    <row r="750" spans="1:14" x14ac:dyDescent="0.25">
      <c r="A750" s="535" t="s">
        <v>642</v>
      </c>
      <c r="B750" s="536"/>
      <c r="C750" s="122" t="s">
        <v>23</v>
      </c>
      <c r="D750" s="122" t="s">
        <v>26</v>
      </c>
      <c r="E750" s="122" t="s">
        <v>25</v>
      </c>
      <c r="F750" s="122" t="s">
        <v>338</v>
      </c>
      <c r="G750" s="132" t="str">
        <f>+G3</f>
        <v>Budget 2016-17</v>
      </c>
      <c r="H750" s="132" t="str">
        <f>+H3</f>
        <v>Actual 5/31/17</v>
      </c>
      <c r="I750" s="234">
        <f>+I3</f>
        <v>43008</v>
      </c>
      <c r="J750" s="132" t="str">
        <f>+J3</f>
        <v>Budget 2017-18</v>
      </c>
      <c r="K750" s="132" t="s">
        <v>766</v>
      </c>
      <c r="L750" s="132" t="s">
        <v>779</v>
      </c>
      <c r="M750" s="380">
        <v>43373</v>
      </c>
      <c r="N750" s="379" t="s">
        <v>803</v>
      </c>
    </row>
    <row r="751" spans="1:14" x14ac:dyDescent="0.25">
      <c r="A751" s="203">
        <v>301.02</v>
      </c>
      <c r="B751" s="387" t="s">
        <v>679</v>
      </c>
      <c r="C751" s="203"/>
      <c r="D751" s="203"/>
      <c r="E751" s="203"/>
      <c r="F751" s="203"/>
      <c r="G751" s="204">
        <v>0</v>
      </c>
      <c r="H751" s="204">
        <v>509</v>
      </c>
      <c r="I751" s="204">
        <v>509</v>
      </c>
      <c r="J751" s="204">
        <v>600</v>
      </c>
      <c r="K751" s="204">
        <v>600</v>
      </c>
      <c r="L751" s="204">
        <v>0</v>
      </c>
      <c r="M751" s="204"/>
      <c r="N751" s="204">
        <v>600</v>
      </c>
    </row>
    <row r="752" spans="1:14" x14ac:dyDescent="0.25">
      <c r="A752" s="203">
        <v>30105</v>
      </c>
      <c r="B752" s="387" t="s">
        <v>680</v>
      </c>
      <c r="C752" s="344">
        <v>0</v>
      </c>
      <c r="D752" s="344"/>
      <c r="E752" s="349"/>
      <c r="F752" s="344">
        <v>275000</v>
      </c>
      <c r="G752" s="204">
        <v>0</v>
      </c>
      <c r="H752" s="204">
        <v>1262</v>
      </c>
      <c r="I752" s="204">
        <v>1262</v>
      </c>
      <c r="J752" s="204">
        <v>1300</v>
      </c>
      <c r="K752" s="204">
        <v>1300</v>
      </c>
      <c r="L752" s="204">
        <v>0</v>
      </c>
      <c r="M752" s="204"/>
      <c r="N752" s="204">
        <v>1300</v>
      </c>
    </row>
    <row r="753" spans="1:16" x14ac:dyDescent="0.25">
      <c r="A753" s="203">
        <v>301.06</v>
      </c>
      <c r="B753" s="387" t="s">
        <v>681</v>
      </c>
      <c r="C753" s="344"/>
      <c r="D753" s="344"/>
      <c r="E753" s="349"/>
      <c r="F753" s="344"/>
      <c r="G753" s="204">
        <v>0</v>
      </c>
      <c r="H753" s="204">
        <v>106</v>
      </c>
      <c r="I753" s="204">
        <v>106</v>
      </c>
      <c r="J753" s="204">
        <v>200</v>
      </c>
      <c r="K753" s="204">
        <v>200</v>
      </c>
      <c r="L753" s="204">
        <v>0</v>
      </c>
      <c r="M753" s="204"/>
      <c r="N753" s="204">
        <v>200</v>
      </c>
    </row>
    <row r="754" spans="1:16" s="263" customFormat="1" x14ac:dyDescent="0.25">
      <c r="A754" s="203">
        <v>301.07</v>
      </c>
      <c r="B754" s="387" t="s">
        <v>682</v>
      </c>
      <c r="C754" s="344">
        <v>0</v>
      </c>
      <c r="D754" s="344"/>
      <c r="E754" s="349"/>
      <c r="F754" s="344">
        <v>0</v>
      </c>
      <c r="G754" s="345">
        <v>0</v>
      </c>
      <c r="H754" s="204">
        <v>724</v>
      </c>
      <c r="I754" s="204">
        <v>724</v>
      </c>
      <c r="J754" s="345">
        <v>750</v>
      </c>
      <c r="K754" s="204">
        <v>750</v>
      </c>
      <c r="L754" s="204">
        <v>0</v>
      </c>
      <c r="M754" s="204"/>
      <c r="N754" s="204">
        <v>750</v>
      </c>
    </row>
    <row r="755" spans="1:16" s="263" customFormat="1" x14ac:dyDescent="0.25">
      <c r="A755" s="203">
        <v>307.08</v>
      </c>
      <c r="B755" s="387" t="s">
        <v>683</v>
      </c>
      <c r="C755" s="344">
        <v>0</v>
      </c>
      <c r="D755" s="344"/>
      <c r="E755" s="349"/>
      <c r="F755" s="344">
        <v>0</v>
      </c>
      <c r="G755" s="204">
        <v>0</v>
      </c>
      <c r="H755" s="204">
        <v>1801</v>
      </c>
      <c r="I755" s="204">
        <v>1801</v>
      </c>
      <c r="J755" s="204">
        <v>2000</v>
      </c>
      <c r="K755" s="204">
        <v>2000</v>
      </c>
      <c r="L755" s="204">
        <v>0</v>
      </c>
      <c r="M755" s="204"/>
      <c r="N755" s="204">
        <v>2000</v>
      </c>
    </row>
    <row r="756" spans="1:16" s="263" customFormat="1" ht="18.75" thickBot="1" x14ac:dyDescent="0.3">
      <c r="A756" s="538" t="s">
        <v>695</v>
      </c>
      <c r="B756" s="199" t="s">
        <v>116</v>
      </c>
      <c r="C756" s="344"/>
      <c r="D756" s="344"/>
      <c r="E756" s="349"/>
      <c r="F756" s="344">
        <v>0</v>
      </c>
      <c r="G756" s="204">
        <v>0</v>
      </c>
      <c r="H756" s="204">
        <v>2</v>
      </c>
      <c r="I756" s="204">
        <v>10</v>
      </c>
      <c r="J756" s="204">
        <v>10</v>
      </c>
      <c r="K756" s="207">
        <v>10</v>
      </c>
      <c r="L756" s="207">
        <v>3</v>
      </c>
      <c r="M756" s="207"/>
      <c r="N756" s="207">
        <v>10</v>
      </c>
    </row>
    <row r="757" spans="1:16" s="263" customFormat="1" ht="18.75" thickBot="1" x14ac:dyDescent="0.3">
      <c r="A757" s="540" t="s">
        <v>684</v>
      </c>
      <c r="B757" s="541"/>
      <c r="C757" s="445">
        <v>0</v>
      </c>
      <c r="D757" s="346"/>
      <c r="E757" s="346"/>
      <c r="F757" s="346">
        <f>SUM(F752:F756)</f>
        <v>275000</v>
      </c>
      <c r="G757" s="136">
        <f t="shared" ref="G757:L757" si="153">SUM(G751:G756)</f>
        <v>0</v>
      </c>
      <c r="H757" s="136">
        <f t="shared" si="153"/>
        <v>4404</v>
      </c>
      <c r="I757" s="136">
        <f t="shared" si="153"/>
        <v>4412</v>
      </c>
      <c r="J757" s="542">
        <f t="shared" si="153"/>
        <v>4860</v>
      </c>
      <c r="K757" s="104">
        <f t="shared" si="153"/>
        <v>4860</v>
      </c>
      <c r="L757" s="104">
        <f t="shared" si="153"/>
        <v>3</v>
      </c>
      <c r="M757" s="104"/>
      <c r="N757" s="104">
        <f>SUM(N751:N756)</f>
        <v>4860</v>
      </c>
    </row>
    <row r="758" spans="1:16" s="263" customFormat="1" x14ac:dyDescent="0.25">
      <c r="A758" s="94"/>
      <c r="B758" s="94"/>
      <c r="C758" s="95"/>
      <c r="D758" s="95"/>
      <c r="E758" s="95"/>
      <c r="F758" s="95"/>
      <c r="G758" s="116"/>
      <c r="H758" s="116"/>
      <c r="I758" s="116"/>
      <c r="J758" s="44"/>
      <c r="K758" s="1"/>
      <c r="L758" s="182"/>
      <c r="M758" s="187"/>
      <c r="N758" s="187"/>
    </row>
    <row r="759" spans="1:16" s="263" customFormat="1" x14ac:dyDescent="0.25">
      <c r="A759" s="217"/>
      <c r="B759" s="125"/>
      <c r="C759" s="125"/>
      <c r="D759" s="217"/>
      <c r="E759" s="217"/>
      <c r="F759" s="125"/>
      <c r="G759" s="217"/>
      <c r="H759" s="122"/>
      <c r="I759" s="125" t="str">
        <f>+I2</f>
        <v xml:space="preserve"> Estimated</v>
      </c>
      <c r="J759" s="125" t="s">
        <v>778</v>
      </c>
      <c r="K759" s="80" t="s">
        <v>767</v>
      </c>
      <c r="L759" s="79"/>
      <c r="M759" s="87" t="s">
        <v>655</v>
      </c>
      <c r="N759" s="87" t="s">
        <v>802</v>
      </c>
    </row>
    <row r="760" spans="1:16" s="263" customFormat="1" x14ac:dyDescent="0.25">
      <c r="A760" s="224" t="s">
        <v>643</v>
      </c>
      <c r="B760" s="224"/>
      <c r="C760" s="122" t="s">
        <v>23</v>
      </c>
      <c r="D760" s="122" t="s">
        <v>26</v>
      </c>
      <c r="E760" s="122" t="s">
        <v>25</v>
      </c>
      <c r="F760" s="122" t="s">
        <v>338</v>
      </c>
      <c r="G760" s="133" t="str">
        <f>+G3</f>
        <v>Budget 2016-17</v>
      </c>
      <c r="H760" s="125" t="str">
        <f>+H3</f>
        <v>Actual 5/31/17</v>
      </c>
      <c r="I760" s="216">
        <f>+I3</f>
        <v>43008</v>
      </c>
      <c r="J760" s="133" t="str">
        <f>+J3</f>
        <v>Budget 2017-18</v>
      </c>
      <c r="K760" s="132" t="s">
        <v>766</v>
      </c>
      <c r="L760" s="132" t="s">
        <v>779</v>
      </c>
      <c r="M760" s="380">
        <v>43373</v>
      </c>
      <c r="N760" s="379" t="s">
        <v>803</v>
      </c>
    </row>
    <row r="761" spans="1:16" s="263" customFormat="1" x14ac:dyDescent="0.25">
      <c r="A761" s="203"/>
      <c r="B761" s="203"/>
      <c r="C761" s="203"/>
      <c r="D761" s="203"/>
      <c r="E761" s="203"/>
      <c r="F761" s="203"/>
      <c r="G761" s="204"/>
      <c r="H761" s="204"/>
      <c r="I761" s="204"/>
      <c r="J761" s="537"/>
      <c r="K761" s="203"/>
      <c r="L761" s="203"/>
      <c r="M761" s="203"/>
      <c r="N761" s="204"/>
    </row>
    <row r="762" spans="1:16" s="263" customFormat="1" x14ac:dyDescent="0.25">
      <c r="A762" s="203">
        <v>570.02</v>
      </c>
      <c r="B762" s="203" t="s">
        <v>686</v>
      </c>
      <c r="C762" s="344">
        <v>0</v>
      </c>
      <c r="D762" s="344"/>
      <c r="E762" s="344"/>
      <c r="F762" s="344">
        <v>275000</v>
      </c>
      <c r="G762" s="204">
        <v>0</v>
      </c>
      <c r="H762" s="204">
        <v>0</v>
      </c>
      <c r="I762" s="204">
        <f>4412-2500</f>
        <v>1912</v>
      </c>
      <c r="J762" s="204">
        <v>2000</v>
      </c>
      <c r="K762" s="204">
        <v>2000</v>
      </c>
      <c r="L762" s="204">
        <v>1501.33</v>
      </c>
      <c r="M762" s="204"/>
      <c r="N762" s="204">
        <v>0</v>
      </c>
    </row>
    <row r="763" spans="1:16" s="263" customFormat="1" ht="18.75" thickBot="1" x14ac:dyDescent="0.3">
      <c r="A763" s="199"/>
      <c r="B763" s="199" t="s">
        <v>685</v>
      </c>
      <c r="C763" s="344">
        <v>0</v>
      </c>
      <c r="D763" s="344"/>
      <c r="E763" s="344"/>
      <c r="F763" s="344">
        <v>0</v>
      </c>
      <c r="G763" s="204">
        <v>0</v>
      </c>
      <c r="H763" s="204">
        <v>0</v>
      </c>
      <c r="I763" s="204">
        <v>0</v>
      </c>
      <c r="J763" s="204">
        <v>0</v>
      </c>
      <c r="K763" s="199">
        <v>0</v>
      </c>
      <c r="L763" s="199"/>
      <c r="M763" s="199"/>
      <c r="N763" s="207">
        <v>0</v>
      </c>
    </row>
    <row r="764" spans="1:16" s="263" customFormat="1" ht="18.75" thickBot="1" x14ac:dyDescent="0.3">
      <c r="A764" s="539" t="s">
        <v>12</v>
      </c>
      <c r="B764" s="541"/>
      <c r="C764" s="445">
        <f>SUM(C762:C763)</f>
        <v>0</v>
      </c>
      <c r="D764" s="346"/>
      <c r="E764" s="346"/>
      <c r="F764" s="346">
        <f t="shared" ref="F764:L764" si="154">SUM(F762:F763)</f>
        <v>275000</v>
      </c>
      <c r="G764" s="136">
        <f t="shared" si="154"/>
        <v>0</v>
      </c>
      <c r="H764" s="136">
        <f t="shared" si="154"/>
        <v>0</v>
      </c>
      <c r="I764" s="136">
        <f t="shared" si="154"/>
        <v>1912</v>
      </c>
      <c r="J764" s="542">
        <f t="shared" si="154"/>
        <v>2000</v>
      </c>
      <c r="K764" s="104">
        <f t="shared" si="154"/>
        <v>2000</v>
      </c>
      <c r="L764" s="104">
        <f t="shared" si="154"/>
        <v>1501.33</v>
      </c>
      <c r="M764" s="104"/>
      <c r="N764" s="457">
        <f>SUM(N762:N763)</f>
        <v>0</v>
      </c>
    </row>
    <row r="765" spans="1:16" s="263" customFormat="1" x14ac:dyDescent="0.25">
      <c r="A765" s="1"/>
      <c r="B765" s="1"/>
      <c r="C765" s="188"/>
      <c r="D765" s="188"/>
      <c r="E765" s="188"/>
      <c r="F765" s="188"/>
      <c r="G765" s="187"/>
      <c r="H765" s="187"/>
      <c r="I765" s="187"/>
      <c r="J765" s="44"/>
      <c r="K765" s="1"/>
      <c r="L765" s="182"/>
      <c r="M765" s="187"/>
      <c r="N765" s="187"/>
    </row>
    <row r="766" spans="1:16" s="263" customFormat="1" x14ac:dyDescent="0.25">
      <c r="A766" s="1"/>
      <c r="B766" s="1"/>
      <c r="C766" s="188"/>
      <c r="D766" s="188"/>
      <c r="E766" s="188"/>
      <c r="F766" s="188"/>
      <c r="G766" s="187"/>
      <c r="H766" s="187"/>
      <c r="I766" s="187"/>
      <c r="J766" s="44"/>
      <c r="K766" s="1"/>
      <c r="L766" s="182"/>
      <c r="M766" s="187"/>
      <c r="N766" s="187"/>
    </row>
    <row r="767" spans="1:16" s="263" customFormat="1" x14ac:dyDescent="0.25">
      <c r="A767" s="1"/>
      <c r="B767" s="1"/>
      <c r="C767" s="188"/>
      <c r="D767" s="188"/>
      <c r="E767" s="188"/>
      <c r="F767" s="188"/>
      <c r="G767" s="187"/>
      <c r="H767" s="187"/>
      <c r="I767" s="187"/>
      <c r="J767" s="44"/>
      <c r="K767" s="1"/>
      <c r="L767" s="182"/>
      <c r="M767" s="187"/>
      <c r="N767" s="187"/>
    </row>
    <row r="768" spans="1:16" s="263" customFormat="1" x14ac:dyDescent="0.25">
      <c r="A768" s="186"/>
      <c r="B768" s="137"/>
      <c r="C768" s="185"/>
      <c r="D768" s="185"/>
      <c r="E768" s="185"/>
      <c r="F768" s="185" t="s">
        <v>777</v>
      </c>
      <c r="G768" s="43"/>
      <c r="H768" s="43"/>
      <c r="I768" s="43"/>
      <c r="J768" s="137"/>
      <c r="K768" s="137"/>
      <c r="L768" s="1"/>
      <c r="M768" s="1"/>
      <c r="N768" s="182"/>
      <c r="O768" s="187"/>
      <c r="P768" s="187"/>
    </row>
    <row r="769" spans="1:16" s="263" customFormat="1" x14ac:dyDescent="0.25">
      <c r="A769" s="111" t="s">
        <v>533</v>
      </c>
      <c r="B769" s="187"/>
      <c r="C769" s="185"/>
      <c r="D769" s="185"/>
      <c r="E769" s="185"/>
      <c r="F769" s="185"/>
      <c r="G769" s="138"/>
      <c r="H769" s="124"/>
      <c r="I769" s="43"/>
      <c r="J769" s="187"/>
      <c r="K769" s="187"/>
      <c r="L769" s="1"/>
      <c r="M769" s="1"/>
      <c r="N769" s="182"/>
      <c r="O769" s="187"/>
      <c r="P769" s="187"/>
    </row>
    <row r="770" spans="1:16" s="263" customFormat="1" x14ac:dyDescent="0.25">
      <c r="A770" s="1"/>
      <c r="B770" s="184"/>
      <c r="C770" s="1"/>
      <c r="D770" s="1"/>
      <c r="E770" s="1"/>
      <c r="F770" s="1"/>
      <c r="G770" s="187"/>
      <c r="H770" s="187"/>
      <c r="I770" s="187"/>
      <c r="J770" s="184"/>
      <c r="K770" s="184"/>
      <c r="L770" s="1"/>
      <c r="M770" s="1"/>
      <c r="N770" s="182"/>
      <c r="O770" s="187"/>
      <c r="P770" s="187"/>
    </row>
    <row r="771" spans="1:16" s="263" customFormat="1" x14ac:dyDescent="0.25">
      <c r="A771" s="94" t="s">
        <v>29</v>
      </c>
      <c r="B771" s="137" t="s">
        <v>44</v>
      </c>
      <c r="C771" s="188"/>
      <c r="D771" s="188"/>
      <c r="E771" s="188"/>
      <c r="F771" s="139" t="s">
        <v>44</v>
      </c>
      <c r="G771" s="117" t="s">
        <v>44</v>
      </c>
      <c r="H771" s="117" t="s">
        <v>45</v>
      </c>
      <c r="I771" s="117" t="s">
        <v>46</v>
      </c>
      <c r="J771" s="182"/>
      <c r="K771" s="137" t="s">
        <v>45</v>
      </c>
      <c r="L771" s="137" t="s">
        <v>12</v>
      </c>
      <c r="M771" s="137"/>
      <c r="N771" s="242"/>
      <c r="O771" s="187"/>
      <c r="P771" s="187"/>
    </row>
    <row r="772" spans="1:16" x14ac:dyDescent="0.25">
      <c r="A772" s="1"/>
      <c r="C772" s="188" t="s">
        <v>11</v>
      </c>
      <c r="D772" s="188"/>
      <c r="E772" s="188"/>
      <c r="F772" s="188"/>
      <c r="G772" s="187"/>
      <c r="H772" s="187"/>
      <c r="I772" s="187"/>
      <c r="K772" s="182"/>
      <c r="M772" s="184"/>
      <c r="N772" s="182"/>
      <c r="O772" s="187"/>
      <c r="P772" s="187"/>
    </row>
    <row r="773" spans="1:16" x14ac:dyDescent="0.25">
      <c r="A773" s="1" t="s">
        <v>893</v>
      </c>
      <c r="B773" s="512">
        <v>170000</v>
      </c>
      <c r="C773" s="222"/>
      <c r="D773" s="188"/>
      <c r="E773" s="188"/>
      <c r="F773" s="191">
        <v>145000</v>
      </c>
      <c r="G773" s="43">
        <v>160000</v>
      </c>
      <c r="H773" s="43">
        <v>104156</v>
      </c>
      <c r="I773" s="192">
        <v>500</v>
      </c>
      <c r="K773" s="512">
        <f>10075*2</f>
        <v>20150</v>
      </c>
      <c r="L773" s="192">
        <f>B773+K773</f>
        <v>190150</v>
      </c>
      <c r="M773" s="513"/>
      <c r="N773" s="182"/>
      <c r="O773" s="187"/>
      <c r="P773" s="187"/>
    </row>
    <row r="774" spans="1:16" x14ac:dyDescent="0.25">
      <c r="A774" s="1" t="s">
        <v>413</v>
      </c>
      <c r="B774" s="512">
        <v>270000</v>
      </c>
      <c r="C774" s="222"/>
      <c r="D774" s="188"/>
      <c r="E774" s="188"/>
      <c r="F774" s="191">
        <v>40000</v>
      </c>
      <c r="G774" s="43">
        <v>270000</v>
      </c>
      <c r="H774" s="43">
        <v>50776</v>
      </c>
      <c r="I774" s="192">
        <v>500</v>
      </c>
      <c r="K774" s="512">
        <f>22688*2</f>
        <v>45376</v>
      </c>
      <c r="L774" s="192">
        <f>B774+K774</f>
        <v>315376</v>
      </c>
      <c r="M774" s="513"/>
      <c r="N774" s="182"/>
      <c r="O774" s="187"/>
      <c r="P774" s="187"/>
    </row>
    <row r="775" spans="1:16" x14ac:dyDescent="0.25">
      <c r="A775" s="1" t="s">
        <v>892</v>
      </c>
      <c r="B775" s="512">
        <v>25000</v>
      </c>
      <c r="C775" s="222"/>
      <c r="D775" s="188"/>
      <c r="E775" s="188"/>
      <c r="F775" s="191"/>
      <c r="G775" s="43">
        <v>80000</v>
      </c>
      <c r="H775" s="43">
        <v>66050</v>
      </c>
      <c r="I775" s="192">
        <v>500</v>
      </c>
      <c r="K775" s="512">
        <f>20352*2</f>
        <v>40704</v>
      </c>
      <c r="L775" s="192">
        <f>B775+K775</f>
        <v>65704</v>
      </c>
      <c r="M775" s="513"/>
      <c r="N775" s="182"/>
      <c r="O775" s="187"/>
      <c r="P775" s="187"/>
    </row>
    <row r="776" spans="1:16" x14ac:dyDescent="0.25">
      <c r="A776" s="1" t="s">
        <v>894</v>
      </c>
      <c r="B776" s="512">
        <v>80000</v>
      </c>
      <c r="C776" s="188"/>
      <c r="D776" s="188"/>
      <c r="E776" s="188"/>
      <c r="F776" s="188"/>
      <c r="G776" s="187">
        <v>640000</v>
      </c>
      <c r="H776" s="187"/>
      <c r="I776" s="187">
        <v>500</v>
      </c>
      <c r="K776" s="512">
        <f>32225*2</f>
        <v>64450</v>
      </c>
      <c r="L776" s="192">
        <f>B776+K776</f>
        <v>144450</v>
      </c>
      <c r="M776" s="513"/>
      <c r="N776" s="182"/>
      <c r="O776" s="187"/>
      <c r="P776" s="187"/>
    </row>
    <row r="777" spans="1:16" x14ac:dyDescent="0.25">
      <c r="A777" s="1" t="s">
        <v>800</v>
      </c>
      <c r="C777" s="222"/>
      <c r="D777" s="188"/>
      <c r="E777" s="188"/>
      <c r="F777" s="191"/>
      <c r="G777" s="43"/>
      <c r="H777" s="43"/>
      <c r="I777" s="192"/>
      <c r="K777" s="182"/>
      <c r="L777" s="192">
        <f>B777+K777</f>
        <v>0</v>
      </c>
      <c r="M777" s="192"/>
      <c r="N777" s="182"/>
      <c r="O777" s="187"/>
      <c r="P777" s="187"/>
    </row>
    <row r="778" spans="1:16" x14ac:dyDescent="0.25">
      <c r="A778" s="182" t="s">
        <v>801</v>
      </c>
      <c r="K778" s="182"/>
      <c r="L778" s="192">
        <f>B778+K778</f>
        <v>0</v>
      </c>
      <c r="M778" s="182"/>
      <c r="N778" s="182"/>
      <c r="O778" s="187"/>
      <c r="P778" s="187"/>
    </row>
    <row r="779" spans="1:16" x14ac:dyDescent="0.25">
      <c r="A779" s="94" t="s">
        <v>47</v>
      </c>
      <c r="B779" s="187">
        <f>SUM(B773:B776)</f>
        <v>545000</v>
      </c>
      <c r="C779" s="1"/>
      <c r="D779" s="1"/>
      <c r="E779" s="1"/>
      <c r="F779" s="219">
        <f>SUM(F773:F777)</f>
        <v>185000</v>
      </c>
      <c r="G779" s="187">
        <f>SUM(G773:G777)</f>
        <v>1150000</v>
      </c>
      <c r="H779" s="187">
        <f>SUM(H773:H777)</f>
        <v>220982</v>
      </c>
      <c r="I779" s="187">
        <f>SUM(I773:I777)</f>
        <v>2000</v>
      </c>
      <c r="K779" s="187">
        <f>SUM(K773:K776)</f>
        <v>170680</v>
      </c>
      <c r="L779" s="192">
        <f>B779+K779</f>
        <v>715680</v>
      </c>
      <c r="N779" s="182"/>
      <c r="O779" s="187"/>
      <c r="P779" s="187"/>
    </row>
    <row r="780" spans="1:16" x14ac:dyDescent="0.25">
      <c r="A780" s="1"/>
      <c r="B780" s="187"/>
      <c r="C780" s="1"/>
      <c r="D780" s="1"/>
      <c r="E780" s="1"/>
      <c r="F780" s="221"/>
      <c r="G780" s="187"/>
      <c r="H780" s="187"/>
      <c r="I780" s="187"/>
      <c r="J780" s="187"/>
      <c r="K780" s="187"/>
      <c r="L780" s="1"/>
      <c r="M780" s="1"/>
      <c r="N780" s="182"/>
      <c r="O780" s="187"/>
      <c r="P780" s="187"/>
    </row>
    <row r="781" spans="1:16" x14ac:dyDescent="0.25">
      <c r="A781" s="1"/>
      <c r="B781" s="192"/>
      <c r="C781" s="1"/>
      <c r="D781" s="1"/>
      <c r="E781" s="1"/>
      <c r="F781" s="219"/>
      <c r="G781" s="140"/>
      <c r="H781" s="140"/>
      <c r="I781" s="140"/>
      <c r="J781" s="192"/>
      <c r="K781" s="192"/>
      <c r="L781" s="1"/>
      <c r="M781" s="1"/>
      <c r="N781" s="182"/>
      <c r="O781" s="187"/>
      <c r="P781" s="187"/>
    </row>
    <row r="782" spans="1:16" x14ac:dyDescent="0.25">
      <c r="A782" s="186"/>
      <c r="B782" s="192"/>
      <c r="C782" s="186"/>
      <c r="D782" s="186"/>
      <c r="E782" s="186"/>
      <c r="F782" s="141" t="s">
        <v>48</v>
      </c>
      <c r="G782" s="142"/>
      <c r="H782" s="142"/>
      <c r="I782" s="142"/>
      <c r="J782" s="192"/>
      <c r="K782" s="192"/>
      <c r="L782" s="1"/>
      <c r="M782" s="1"/>
      <c r="N782" s="182"/>
      <c r="O782" s="187"/>
      <c r="P782" s="187"/>
    </row>
    <row r="783" spans="1:16" x14ac:dyDescent="0.25">
      <c r="A783" s="186"/>
      <c r="B783" s="192"/>
      <c r="C783" s="186"/>
      <c r="D783" s="186"/>
      <c r="E783" s="186"/>
      <c r="F783" s="220"/>
      <c r="G783" s="43"/>
      <c r="H783" s="43"/>
      <c r="I783" s="43"/>
      <c r="J783" s="192"/>
      <c r="K783" s="192"/>
      <c r="L783" s="1"/>
      <c r="M783" s="1"/>
      <c r="N783" s="182"/>
      <c r="O783" s="187"/>
      <c r="P783" s="187"/>
    </row>
    <row r="784" spans="1:16" x14ac:dyDescent="0.25">
      <c r="A784" s="1"/>
      <c r="B784" s="192"/>
      <c r="C784" s="1"/>
      <c r="D784" s="1"/>
      <c r="E784" s="1"/>
      <c r="F784" s="219"/>
      <c r="G784" s="187"/>
      <c r="H784" s="187"/>
      <c r="I784" s="187"/>
      <c r="J784" s="192"/>
      <c r="K784" s="192"/>
      <c r="L784" s="1"/>
      <c r="M784" s="1"/>
      <c r="N784" s="182"/>
      <c r="O784" s="187"/>
      <c r="P784" s="187"/>
    </row>
    <row r="785" spans="1:16" x14ac:dyDescent="0.25">
      <c r="A785" s="188"/>
      <c r="C785" s="516"/>
      <c r="D785" s="516"/>
      <c r="E785" s="516"/>
      <c r="F785" s="514" t="s">
        <v>49</v>
      </c>
      <c r="G785" s="515" t="s">
        <v>300</v>
      </c>
      <c r="H785" s="515" t="s">
        <v>414</v>
      </c>
      <c r="I785" s="515" t="s">
        <v>657</v>
      </c>
      <c r="J785" s="515" t="s">
        <v>687</v>
      </c>
      <c r="K785" s="182"/>
      <c r="M785" s="182"/>
      <c r="N785" s="137"/>
      <c r="O785" s="187"/>
      <c r="P785" s="187"/>
    </row>
    <row r="786" spans="1:16" x14ac:dyDescent="0.25">
      <c r="A786" s="144" t="s">
        <v>50</v>
      </c>
      <c r="C786" s="188"/>
      <c r="D786" s="188"/>
      <c r="E786" s="188"/>
      <c r="F786" s="188"/>
      <c r="G786" s="187"/>
      <c r="H786" s="187"/>
      <c r="I786" s="187"/>
      <c r="K786" s="182"/>
      <c r="L786" s="187"/>
      <c r="N786" s="192"/>
      <c r="O786" s="187"/>
      <c r="P786" s="187"/>
    </row>
    <row r="787" spans="1:16" x14ac:dyDescent="0.25">
      <c r="A787" s="188" t="s">
        <v>51</v>
      </c>
      <c r="C787" s="188"/>
      <c r="D787" s="188"/>
      <c r="E787" s="188"/>
      <c r="F787" s="185">
        <v>164000</v>
      </c>
      <c r="G787" s="43">
        <v>201000</v>
      </c>
      <c r="H787" s="43">
        <v>0</v>
      </c>
      <c r="I787" s="45">
        <v>0</v>
      </c>
      <c r="J787" s="182">
        <v>0</v>
      </c>
      <c r="K787" s="182"/>
      <c r="L787" s="187"/>
      <c r="N787" s="45">
        <v>459826</v>
      </c>
      <c r="O787" s="187"/>
      <c r="P787" s="187"/>
    </row>
    <row r="788" spans="1:16" x14ac:dyDescent="0.25">
      <c r="A788" s="188" t="s">
        <v>52</v>
      </c>
      <c r="B788" s="187"/>
      <c r="C788" s="188"/>
      <c r="D788" s="188"/>
      <c r="E788" s="188"/>
      <c r="F788" s="185">
        <v>44250</v>
      </c>
      <c r="G788" s="43">
        <f>264656-201000</f>
        <v>63656</v>
      </c>
      <c r="H788" s="43">
        <f>320776+500</f>
        <v>321276</v>
      </c>
      <c r="I788" s="45" t="e">
        <f>+#REF!</f>
        <v>#REF!</v>
      </c>
      <c r="J788" s="187" t="e">
        <f>+#REF!</f>
        <v>#REF!</v>
      </c>
      <c r="K788" s="187"/>
      <c r="L788" s="187"/>
      <c r="N788" s="45">
        <v>255854</v>
      </c>
      <c r="O788" s="187"/>
      <c r="P788" s="187"/>
    </row>
    <row r="789" spans="1:16" x14ac:dyDescent="0.25">
      <c r="A789" s="188" t="s">
        <v>53</v>
      </c>
      <c r="B789" s="43"/>
      <c r="C789" s="188"/>
      <c r="D789" s="188"/>
      <c r="E789" s="188"/>
      <c r="F789" s="185">
        <f>SUM(F787+F788)</f>
        <v>208250</v>
      </c>
      <c r="G789" s="43">
        <f>SUM(G787+G788)</f>
        <v>264656</v>
      </c>
      <c r="H789" s="43">
        <f>SUM(H787+H788)</f>
        <v>321276</v>
      </c>
      <c r="I789" s="43" t="e">
        <f>SUM(I787+I788)</f>
        <v>#REF!</v>
      </c>
      <c r="J789" s="43" t="e">
        <f>SUM(J787+J788)</f>
        <v>#REF!</v>
      </c>
      <c r="K789" s="43"/>
      <c r="L789" s="187"/>
      <c r="N789" s="45">
        <f>SUM(N787:N788)</f>
        <v>715680</v>
      </c>
      <c r="O789" s="187"/>
      <c r="P789" s="187"/>
    </row>
    <row r="790" spans="1:16" x14ac:dyDescent="0.25">
      <c r="A790" s="185"/>
      <c r="B790" s="186"/>
      <c r="C790" s="185"/>
      <c r="D790" s="185"/>
      <c r="E790" s="185"/>
      <c r="F790" s="185"/>
      <c r="G790" s="43"/>
      <c r="H790" s="43"/>
      <c r="I790" s="43"/>
      <c r="J790" s="186"/>
      <c r="K790" s="186"/>
      <c r="L790" s="187"/>
      <c r="N790" s="45"/>
      <c r="O790" s="187"/>
      <c r="P790" s="187"/>
    </row>
    <row r="791" spans="1:16" x14ac:dyDescent="0.25">
      <c r="A791" s="543" t="s">
        <v>54</v>
      </c>
      <c r="B791" s="550" t="s">
        <v>893</v>
      </c>
      <c r="C791" s="327"/>
      <c r="D791" s="327"/>
      <c r="E791" s="327"/>
      <c r="F791" s="327"/>
      <c r="G791" s="226"/>
      <c r="H791" s="226"/>
      <c r="I791" s="226"/>
      <c r="J791" s="316"/>
      <c r="K791" s="550" t="s">
        <v>413</v>
      </c>
      <c r="L791" s="550" t="s">
        <v>892</v>
      </c>
      <c r="M791" s="550" t="s">
        <v>894</v>
      </c>
      <c r="N791" s="551" t="s">
        <v>12</v>
      </c>
      <c r="O791" s="187"/>
      <c r="P791" s="187"/>
    </row>
    <row r="792" spans="1:16" x14ac:dyDescent="0.25">
      <c r="A792" s="327" t="s">
        <v>55</v>
      </c>
      <c r="B792" s="218">
        <v>170000</v>
      </c>
      <c r="C792" s="327"/>
      <c r="D792" s="327"/>
      <c r="E792" s="327"/>
      <c r="F792" s="327">
        <v>200000</v>
      </c>
      <c r="G792" s="205">
        <v>160000</v>
      </c>
      <c r="H792" s="205">
        <v>270000</v>
      </c>
      <c r="I792" s="205">
        <v>80000</v>
      </c>
      <c r="J792" s="218">
        <v>650000</v>
      </c>
      <c r="K792" s="218">
        <v>270000</v>
      </c>
      <c r="L792" s="204">
        <v>25000</v>
      </c>
      <c r="M792" s="204">
        <v>80000</v>
      </c>
      <c r="N792" s="205">
        <f>+B792+K792+L792+M792</f>
        <v>545000</v>
      </c>
      <c r="O792" s="187"/>
      <c r="P792" s="187"/>
    </row>
    <row r="793" spans="1:16" ht="18.75" thickBot="1" x14ac:dyDescent="0.3">
      <c r="A793" s="545" t="s">
        <v>56</v>
      </c>
      <c r="B793" s="529">
        <v>20150</v>
      </c>
      <c r="C793" s="327"/>
      <c r="D793" s="327"/>
      <c r="E793" s="327"/>
      <c r="F793" s="327">
        <v>8250</v>
      </c>
      <c r="G793" s="205">
        <f>500+104156</f>
        <v>104656</v>
      </c>
      <c r="H793" s="226">
        <f>50776+500</f>
        <v>51276</v>
      </c>
      <c r="I793" s="226">
        <f>66050+500</f>
        <v>66550</v>
      </c>
      <c r="J793" s="316">
        <v>500</v>
      </c>
      <c r="K793" s="529">
        <v>45376</v>
      </c>
      <c r="L793" s="207">
        <v>40704</v>
      </c>
      <c r="M793" s="207">
        <v>64450</v>
      </c>
      <c r="N793" s="548">
        <f>+B793+K793+L793+M793</f>
        <v>170680</v>
      </c>
      <c r="O793" s="187"/>
      <c r="P793" s="187"/>
    </row>
    <row r="794" spans="1:16" ht="18.75" thickBot="1" x14ac:dyDescent="0.3">
      <c r="A794" s="546" t="s">
        <v>53</v>
      </c>
      <c r="B794" s="547"/>
      <c r="C794" s="185"/>
      <c r="D794" s="185"/>
      <c r="E794" s="185"/>
      <c r="F794" s="185">
        <f>SUM(F792:F793)</f>
        <v>208250</v>
      </c>
      <c r="G794" s="43">
        <f>SUM(G792:G793)</f>
        <v>264656</v>
      </c>
      <c r="H794" s="43">
        <f>SUM(H792:H793)</f>
        <v>321276</v>
      </c>
      <c r="I794" s="43">
        <f>SUM(I792:I793)</f>
        <v>146550</v>
      </c>
      <c r="J794" s="43">
        <f>SUM(J792:J793)</f>
        <v>650500</v>
      </c>
      <c r="K794" s="544"/>
      <c r="L794" s="457"/>
      <c r="M794" s="457"/>
      <c r="N794" s="549">
        <f>SUM(N792+N793)</f>
        <v>715680</v>
      </c>
      <c r="O794" s="187"/>
      <c r="P794" s="187"/>
    </row>
    <row r="795" spans="1:16" x14ac:dyDescent="0.25">
      <c r="A795" s="145" t="str">
        <f ca="1">CELL("filename")</f>
        <v>\\COFKSRV1\Shared\[2018-2019 Adopted Budget.xlsx]Proposed Budget</v>
      </c>
      <c r="B795" s="192"/>
      <c r="C795" s="188"/>
      <c r="D795" s="188"/>
      <c r="E795" s="188"/>
      <c r="F795" s="188"/>
      <c r="G795" s="187"/>
      <c r="H795" s="187"/>
      <c r="I795" s="187"/>
      <c r="J795" s="192"/>
      <c r="K795" s="192"/>
      <c r="L795" s="1"/>
      <c r="M795" s="1"/>
      <c r="N795" s="182"/>
      <c r="O795" s="187"/>
      <c r="P795" s="187"/>
    </row>
    <row r="796" spans="1:16" x14ac:dyDescent="0.25">
      <c r="A796" s="1"/>
      <c r="B796" s="188"/>
      <c r="C796" s="188"/>
      <c r="D796" s="188"/>
      <c r="E796" s="188"/>
      <c r="F796" s="188"/>
      <c r="G796" s="187"/>
      <c r="H796" s="187"/>
      <c r="I796" s="187"/>
      <c r="J796" s="187"/>
    </row>
    <row r="797" spans="1:16" x14ac:dyDescent="0.25">
      <c r="A797" s="1"/>
      <c r="B797" s="95" t="s">
        <v>291</v>
      </c>
      <c r="C797" s="188"/>
      <c r="D797" s="188"/>
      <c r="E797" s="188"/>
      <c r="F797" s="188"/>
      <c r="G797" s="187"/>
      <c r="H797" s="187"/>
      <c r="I797" s="187"/>
      <c r="J797" s="187"/>
    </row>
    <row r="798" spans="1:16" x14ac:dyDescent="0.25">
      <c r="A798" s="493"/>
      <c r="B798" s="494"/>
      <c r="C798" s="130"/>
      <c r="D798" s="130"/>
      <c r="E798" s="130"/>
      <c r="F798" s="130"/>
      <c r="G798" s="454"/>
      <c r="H798" s="454"/>
      <c r="I798" s="132">
        <f>+I94</f>
        <v>2950</v>
      </c>
      <c r="J798" s="132" t="s">
        <v>778</v>
      </c>
      <c r="K798" s="132" t="s">
        <v>767</v>
      </c>
      <c r="L798" s="359"/>
      <c r="M798" s="379" t="s">
        <v>655</v>
      </c>
      <c r="N798" s="87" t="s">
        <v>802</v>
      </c>
    </row>
    <row r="799" spans="1:16" x14ac:dyDescent="0.25">
      <c r="A799" s="225"/>
      <c r="B799" s="131" t="s">
        <v>30</v>
      </c>
      <c r="C799" s="122" t="s">
        <v>23</v>
      </c>
      <c r="D799" s="122" t="s">
        <v>26</v>
      </c>
      <c r="E799" s="122" t="s">
        <v>25</v>
      </c>
      <c r="F799" s="122" t="s">
        <v>338</v>
      </c>
      <c r="G799" s="132">
        <f>+G95</f>
        <v>201462</v>
      </c>
      <c r="H799" s="132">
        <f>+H95</f>
        <v>147349</v>
      </c>
      <c r="I799" s="234">
        <f>+I95</f>
        <v>201462</v>
      </c>
      <c r="J799" s="132">
        <f>+J95</f>
        <v>0</v>
      </c>
      <c r="K799" s="132" t="s">
        <v>766</v>
      </c>
      <c r="L799" s="83" t="s">
        <v>779</v>
      </c>
      <c r="M799" s="458">
        <v>43373</v>
      </c>
      <c r="N799" s="379" t="s">
        <v>803</v>
      </c>
    </row>
    <row r="800" spans="1:16" x14ac:dyDescent="0.25">
      <c r="A800" s="1"/>
      <c r="B800" s="95"/>
      <c r="C800" s="188"/>
      <c r="D800" s="188"/>
      <c r="E800" s="188"/>
      <c r="F800" s="143"/>
      <c r="G800" s="137"/>
      <c r="H800" s="137"/>
      <c r="I800" s="137"/>
      <c r="J800" s="187"/>
    </row>
    <row r="801" spans="1:14" x14ac:dyDescent="0.25">
      <c r="A801" s="1"/>
      <c r="B801" s="188" t="s">
        <v>31</v>
      </c>
      <c r="C801" s="188"/>
      <c r="D801" s="188"/>
      <c r="E801" s="188"/>
      <c r="F801" s="191">
        <v>3630</v>
      </c>
      <c r="G801" s="45">
        <v>2863195</v>
      </c>
      <c r="H801" s="192"/>
      <c r="I801" s="45">
        <v>0</v>
      </c>
      <c r="J801" s="192">
        <f>+G816</f>
        <v>2714095</v>
      </c>
    </row>
    <row r="802" spans="1:14" x14ac:dyDescent="0.25">
      <c r="A802" s="1"/>
      <c r="B802" s="187">
        <v>2928646</v>
      </c>
      <c r="C802" s="188"/>
      <c r="D802" s="188"/>
      <c r="E802" s="188"/>
      <c r="F802" s="191"/>
      <c r="G802" s="192"/>
      <c r="H802" s="192"/>
      <c r="I802" s="192"/>
      <c r="J802" s="187"/>
    </row>
    <row r="803" spans="1:14" x14ac:dyDescent="0.25">
      <c r="A803" s="1"/>
      <c r="B803" s="188" t="s">
        <v>34</v>
      </c>
      <c r="C803" s="188"/>
      <c r="D803" s="188"/>
      <c r="E803" s="188"/>
      <c r="F803" s="191"/>
      <c r="G803" s="192"/>
      <c r="H803" s="192"/>
      <c r="I803" s="192"/>
      <c r="J803" s="187"/>
    </row>
    <row r="804" spans="1:14" ht="36" x14ac:dyDescent="0.25">
      <c r="A804" s="1"/>
      <c r="B804" s="579" t="s">
        <v>292</v>
      </c>
      <c r="C804" s="344"/>
      <c r="D804" s="344"/>
      <c r="E804" s="344"/>
      <c r="F804" s="348">
        <v>400000</v>
      </c>
      <c r="G804" s="202">
        <v>500000</v>
      </c>
      <c r="H804" s="357">
        <v>276371</v>
      </c>
      <c r="I804" s="202">
        <f>+H804+85000</f>
        <v>361371</v>
      </c>
      <c r="J804" s="202">
        <v>500000</v>
      </c>
      <c r="K804" s="204">
        <v>500000</v>
      </c>
      <c r="L804" s="204">
        <v>466330</v>
      </c>
      <c r="M804" s="204">
        <f>(L804/8)*12</f>
        <v>699495</v>
      </c>
      <c r="N804" s="204">
        <v>550000</v>
      </c>
    </row>
    <row r="805" spans="1:14" x14ac:dyDescent="0.25">
      <c r="A805" s="1"/>
      <c r="B805" s="344" t="s">
        <v>60</v>
      </c>
      <c r="C805" s="344"/>
      <c r="D805" s="344"/>
      <c r="E805" s="344"/>
      <c r="F805" s="348">
        <v>1000</v>
      </c>
      <c r="G805" s="202">
        <v>900</v>
      </c>
      <c r="H805" s="202">
        <v>1712</v>
      </c>
      <c r="I805" s="202">
        <v>3000</v>
      </c>
      <c r="J805" s="202">
        <v>3000</v>
      </c>
      <c r="K805" s="204">
        <v>3000</v>
      </c>
      <c r="L805" s="204">
        <v>9676</v>
      </c>
      <c r="M805" s="204">
        <f>(L805/8)*12</f>
        <v>14514</v>
      </c>
      <c r="N805" s="204">
        <v>10000</v>
      </c>
    </row>
    <row r="806" spans="1:14" ht="18.75" thickBot="1" x14ac:dyDescent="0.3">
      <c r="A806" s="1"/>
      <c r="B806" s="553" t="s">
        <v>38</v>
      </c>
      <c r="C806" s="344"/>
      <c r="D806" s="344"/>
      <c r="E806" s="344"/>
      <c r="F806" s="348">
        <v>0</v>
      </c>
      <c r="G806" s="202">
        <v>0</v>
      </c>
      <c r="H806" s="202">
        <v>0</v>
      </c>
      <c r="I806" s="202">
        <v>0</v>
      </c>
      <c r="J806" s="202">
        <v>0</v>
      </c>
      <c r="K806" s="199"/>
      <c r="L806" s="199"/>
      <c r="M806" s="207"/>
      <c r="N806" s="207">
        <v>0</v>
      </c>
    </row>
    <row r="807" spans="1:14" ht="18.75" thickBot="1" x14ac:dyDescent="0.3">
      <c r="A807" s="1"/>
      <c r="B807" s="554" t="s">
        <v>293</v>
      </c>
      <c r="C807" s="552"/>
      <c r="D807" s="344"/>
      <c r="E807" s="344"/>
      <c r="F807" s="348">
        <f t="shared" ref="F807:L807" si="155">SUM(F804:F806)</f>
        <v>401000</v>
      </c>
      <c r="G807" s="202">
        <f t="shared" si="155"/>
        <v>500900</v>
      </c>
      <c r="H807" s="202">
        <f t="shared" si="155"/>
        <v>278083</v>
      </c>
      <c r="I807" s="202">
        <f t="shared" si="155"/>
        <v>364371</v>
      </c>
      <c r="J807" s="555">
        <f t="shared" si="155"/>
        <v>503000</v>
      </c>
      <c r="K807" s="457">
        <f t="shared" si="155"/>
        <v>503000</v>
      </c>
      <c r="L807" s="457">
        <f t="shared" si="155"/>
        <v>476006</v>
      </c>
      <c r="M807" s="457">
        <f>SUM(M804:M806)</f>
        <v>714009</v>
      </c>
      <c r="N807" s="457">
        <f>SUM(N804:N806)</f>
        <v>560000</v>
      </c>
    </row>
    <row r="808" spans="1:14" x14ac:dyDescent="0.25">
      <c r="A808" s="1"/>
      <c r="B808" s="188"/>
      <c r="C808" s="188"/>
      <c r="D808" s="188"/>
      <c r="E808" s="188"/>
      <c r="F808" s="191"/>
      <c r="G808" s="192"/>
      <c r="H808" s="192"/>
      <c r="I808" s="192"/>
      <c r="J808" s="187"/>
    </row>
    <row r="809" spans="1:14" x14ac:dyDescent="0.25">
      <c r="A809" s="1"/>
      <c r="B809" s="188" t="s">
        <v>35</v>
      </c>
      <c r="C809" s="188"/>
      <c r="D809" s="188"/>
      <c r="E809" s="188"/>
      <c r="F809" s="191"/>
      <c r="G809" s="192"/>
      <c r="H809" s="192"/>
      <c r="I809" s="192"/>
      <c r="J809" s="187"/>
      <c r="K809" s="188"/>
    </row>
    <row r="810" spans="1:14" x14ac:dyDescent="0.25">
      <c r="A810" s="1"/>
      <c r="B810" s="344" t="s">
        <v>916</v>
      </c>
      <c r="C810" s="344"/>
      <c r="D810" s="344"/>
      <c r="E810" s="344"/>
      <c r="F810" s="348">
        <v>85720</v>
      </c>
      <c r="G810" s="202">
        <v>120000</v>
      </c>
      <c r="H810" s="202">
        <v>22196</v>
      </c>
      <c r="I810" s="202">
        <f>+I804/3</f>
        <v>120457</v>
      </c>
      <c r="J810" s="202">
        <v>120000</v>
      </c>
      <c r="K810" s="204">
        <v>120000</v>
      </c>
      <c r="L810" s="204">
        <v>93637</v>
      </c>
      <c r="M810" s="204">
        <v>100000</v>
      </c>
      <c r="N810" s="204">
        <v>110000</v>
      </c>
    </row>
    <row r="811" spans="1:14" x14ac:dyDescent="0.25">
      <c r="A811" s="1"/>
      <c r="B811" s="344" t="s">
        <v>184</v>
      </c>
      <c r="C811" s="344"/>
      <c r="D811" s="344"/>
      <c r="E811" s="344"/>
      <c r="F811" s="348">
        <v>10000</v>
      </c>
      <c r="G811" s="202">
        <v>10000</v>
      </c>
      <c r="H811" s="202">
        <v>11482</v>
      </c>
      <c r="I811" s="205">
        <v>11482</v>
      </c>
      <c r="J811" s="202">
        <v>12000</v>
      </c>
      <c r="K811" s="204">
        <v>12000</v>
      </c>
      <c r="L811" s="204">
        <v>505851.68</v>
      </c>
      <c r="M811" s="204">
        <v>505850</v>
      </c>
      <c r="N811" s="204">
        <v>10000</v>
      </c>
    </row>
    <row r="812" spans="1:14" x14ac:dyDescent="0.25">
      <c r="A812" s="1"/>
      <c r="B812" s="556" t="s">
        <v>917</v>
      </c>
      <c r="C812" s="344"/>
      <c r="D812" s="344"/>
      <c r="E812" s="344"/>
      <c r="F812" s="348">
        <v>0</v>
      </c>
      <c r="G812" s="202">
        <v>20000</v>
      </c>
      <c r="H812" s="202">
        <v>48056</v>
      </c>
      <c r="I812" s="205">
        <v>58000</v>
      </c>
      <c r="J812" s="202">
        <v>60000</v>
      </c>
      <c r="K812" s="204">
        <v>60000</v>
      </c>
      <c r="L812" s="204">
        <v>11765</v>
      </c>
      <c r="M812" s="204">
        <v>11765</v>
      </c>
      <c r="N812" s="204">
        <v>40000</v>
      </c>
    </row>
    <row r="813" spans="1:14" x14ac:dyDescent="0.25">
      <c r="A813" s="1"/>
      <c r="B813" s="556" t="s">
        <v>422</v>
      </c>
      <c r="C813" s="344"/>
      <c r="D813" s="344"/>
      <c r="E813" s="344"/>
      <c r="F813" s="348">
        <v>0</v>
      </c>
      <c r="G813" s="202">
        <v>500000</v>
      </c>
      <c r="H813" s="202">
        <v>0</v>
      </c>
      <c r="I813" s="202">
        <v>0</v>
      </c>
      <c r="J813" s="202">
        <v>500000</v>
      </c>
      <c r="K813" s="204">
        <v>500000</v>
      </c>
      <c r="L813" s="204">
        <v>0</v>
      </c>
      <c r="M813" s="204">
        <v>0</v>
      </c>
      <c r="N813" s="204">
        <v>400000</v>
      </c>
    </row>
    <row r="814" spans="1:14" x14ac:dyDescent="0.25">
      <c r="A814" s="1"/>
      <c r="B814" s="344" t="s">
        <v>298</v>
      </c>
      <c r="C814" s="344"/>
      <c r="D814" s="344"/>
      <c r="E814" s="344"/>
      <c r="F814" s="348">
        <f t="shared" ref="F814:N814" si="156">SUM(F810:F813)</f>
        <v>95720</v>
      </c>
      <c r="G814" s="202">
        <f t="shared" si="156"/>
        <v>650000</v>
      </c>
      <c r="H814" s="202">
        <f t="shared" si="156"/>
        <v>81734</v>
      </c>
      <c r="I814" s="202">
        <f t="shared" si="156"/>
        <v>189939</v>
      </c>
      <c r="J814" s="202">
        <f t="shared" si="156"/>
        <v>692000</v>
      </c>
      <c r="K814" s="204">
        <f t="shared" si="156"/>
        <v>692000</v>
      </c>
      <c r="L814" s="204">
        <f t="shared" si="156"/>
        <v>611253.67999999993</v>
      </c>
      <c r="M814" s="204">
        <f t="shared" si="156"/>
        <v>617615</v>
      </c>
      <c r="N814" s="204">
        <f t="shared" si="156"/>
        <v>560000</v>
      </c>
    </row>
    <row r="815" spans="1:14" x14ac:dyDescent="0.25">
      <c r="A815" s="1"/>
      <c r="B815" s="188"/>
      <c r="C815" s="188"/>
      <c r="D815" s="188"/>
      <c r="E815" s="188"/>
      <c r="F815" s="191"/>
      <c r="G815" s="192"/>
      <c r="H815" s="192"/>
      <c r="I815" s="192"/>
      <c r="J815" s="44"/>
    </row>
    <row r="816" spans="1:14" x14ac:dyDescent="0.25">
      <c r="A816" s="1"/>
      <c r="B816" s="188"/>
      <c r="C816" s="188"/>
      <c r="D816" s="188"/>
      <c r="E816" s="188"/>
      <c r="F816" s="191">
        <f>SUM(F801+F807-F814)</f>
        <v>308910</v>
      </c>
      <c r="G816" s="45">
        <f>SUM(G801+G807-G814)</f>
        <v>2714095</v>
      </c>
      <c r="H816" s="192">
        <f>+H807-H814</f>
        <v>196349</v>
      </c>
      <c r="I816" s="192">
        <f>+I807-I814</f>
        <v>174432</v>
      </c>
      <c r="J816" s="192">
        <f>SUM(J801+J807-J814)</f>
        <v>2525095</v>
      </c>
    </row>
    <row r="817" spans="1:14" x14ac:dyDescent="0.25">
      <c r="A817" s="1"/>
      <c r="B817" s="188"/>
      <c r="C817" s="188"/>
      <c r="D817" s="188"/>
      <c r="E817" s="188"/>
      <c r="F817" s="188"/>
      <c r="G817" s="187"/>
      <c r="H817" s="187"/>
      <c r="I817" s="187"/>
      <c r="J817" s="44"/>
    </row>
    <row r="818" spans="1:14" x14ac:dyDescent="0.25">
      <c r="A818" s="1"/>
      <c r="B818" s="188"/>
      <c r="C818" s="188"/>
      <c r="D818" s="188"/>
      <c r="E818" s="188"/>
      <c r="F818" s="188"/>
      <c r="G818" s="187"/>
      <c r="H818" s="187"/>
      <c r="I818" s="187"/>
      <c r="J818" s="44"/>
    </row>
    <row r="819" spans="1:14" x14ac:dyDescent="0.25">
      <c r="A819" s="1"/>
      <c r="B819" s="95" t="s">
        <v>690</v>
      </c>
      <c r="C819" s="188"/>
      <c r="D819" s="188"/>
      <c r="E819" s="188"/>
      <c r="F819" s="188"/>
      <c r="G819" s="187"/>
      <c r="H819" s="187"/>
      <c r="I819" s="187"/>
      <c r="J819" s="44"/>
    </row>
    <row r="820" spans="1:14" x14ac:dyDescent="0.25">
      <c r="A820" s="1"/>
      <c r="B820" s="210"/>
      <c r="C820" s="210"/>
      <c r="D820" s="210"/>
      <c r="E820" s="210"/>
      <c r="F820" s="210"/>
      <c r="G820" s="217"/>
      <c r="H820" s="122"/>
      <c r="I820" s="125" t="s">
        <v>694</v>
      </c>
      <c r="J820" s="125" t="s">
        <v>778</v>
      </c>
      <c r="K820" s="132" t="s">
        <v>767</v>
      </c>
      <c r="L820" s="359"/>
      <c r="M820" s="379" t="s">
        <v>655</v>
      </c>
      <c r="N820" s="87" t="s">
        <v>802</v>
      </c>
    </row>
    <row r="821" spans="1:14" x14ac:dyDescent="0.25">
      <c r="A821" s="1"/>
      <c r="B821" s="146" t="s">
        <v>30</v>
      </c>
      <c r="C821" s="210"/>
      <c r="D821" s="210"/>
      <c r="E821" s="210"/>
      <c r="F821" s="147" t="s">
        <v>189</v>
      </c>
      <c r="G821" s="133" t="str">
        <f>+G3</f>
        <v>Budget 2016-17</v>
      </c>
      <c r="H821" s="125" t="str">
        <f>+H3</f>
        <v>Actual 5/31/17</v>
      </c>
      <c r="I821" s="216">
        <f>+I3</f>
        <v>43008</v>
      </c>
      <c r="J821" s="133" t="str">
        <f>+J3</f>
        <v>Budget 2017-18</v>
      </c>
      <c r="K821" s="132" t="s">
        <v>766</v>
      </c>
      <c r="L821" s="83" t="s">
        <v>779</v>
      </c>
      <c r="M821" s="458">
        <v>43373</v>
      </c>
      <c r="N821" s="379" t="s">
        <v>803</v>
      </c>
    </row>
    <row r="822" spans="1:14" x14ac:dyDescent="0.25">
      <c r="A822" s="1"/>
      <c r="B822" s="188"/>
      <c r="C822" s="188"/>
      <c r="D822" s="188"/>
      <c r="E822" s="188"/>
      <c r="F822" s="188"/>
      <c r="G822" s="187"/>
      <c r="H822" s="187"/>
      <c r="I822" s="187"/>
      <c r="J822" s="44"/>
    </row>
    <row r="823" spans="1:14" x14ac:dyDescent="0.25">
      <c r="A823" s="1"/>
      <c r="B823" s="215" t="s">
        <v>31</v>
      </c>
      <c r="C823" s="188"/>
      <c r="D823" s="188"/>
      <c r="E823" s="188"/>
      <c r="F823" s="188">
        <v>0</v>
      </c>
      <c r="G823" s="187">
        <v>0</v>
      </c>
      <c r="H823" s="187"/>
      <c r="I823" s="187"/>
      <c r="J823" s="187">
        <v>1852000</v>
      </c>
    </row>
    <row r="824" spans="1:14" x14ac:dyDescent="0.25">
      <c r="A824" s="1"/>
      <c r="B824" s="187">
        <v>1795211</v>
      </c>
      <c r="C824" s="188"/>
      <c r="D824" s="188"/>
      <c r="E824" s="188"/>
      <c r="F824" s="188"/>
      <c r="G824" s="187"/>
      <c r="H824" s="187"/>
      <c r="I824" s="187"/>
      <c r="J824" s="187"/>
      <c r="L824" s="517"/>
    </row>
    <row r="825" spans="1:14" x14ac:dyDescent="0.25">
      <c r="A825" s="1"/>
      <c r="B825" s="188" t="s">
        <v>34</v>
      </c>
      <c r="C825" s="188"/>
      <c r="D825" s="188"/>
      <c r="E825" s="188"/>
      <c r="F825" s="188"/>
      <c r="G825" s="187" t="s">
        <v>691</v>
      </c>
      <c r="H825" s="187"/>
      <c r="I825" s="187"/>
      <c r="J825" s="44"/>
    </row>
    <row r="826" spans="1:14" ht="18.75" thickBot="1" x14ac:dyDescent="0.3">
      <c r="A826" s="524">
        <v>380.1</v>
      </c>
      <c r="B826" s="553" t="s">
        <v>918</v>
      </c>
      <c r="C826" s="344"/>
      <c r="D826" s="344"/>
      <c r="E826" s="344"/>
      <c r="F826" s="344">
        <v>0</v>
      </c>
      <c r="G826" s="204">
        <v>0</v>
      </c>
      <c r="H826" s="204">
        <v>755</v>
      </c>
      <c r="I826" s="204">
        <f>2204+242+242+242</f>
        <v>2930</v>
      </c>
      <c r="J826" s="204">
        <v>3000</v>
      </c>
      <c r="K826" s="207">
        <v>3000</v>
      </c>
      <c r="L826" s="207">
        <v>978</v>
      </c>
      <c r="M826" s="207">
        <v>978</v>
      </c>
      <c r="N826" s="207">
        <v>1000</v>
      </c>
    </row>
    <row r="827" spans="1:14" ht="18.75" thickBot="1" x14ac:dyDescent="0.3">
      <c r="A827" s="560" t="s">
        <v>57</v>
      </c>
      <c r="B827" s="557"/>
      <c r="C827" s="552"/>
      <c r="D827" s="344"/>
      <c r="E827" s="344"/>
      <c r="F827" s="344">
        <f t="shared" ref="F827:L827" si="157">SUM(F826:F826)</f>
        <v>0</v>
      </c>
      <c r="G827" s="204">
        <f t="shared" si="157"/>
        <v>0</v>
      </c>
      <c r="H827" s="204">
        <f t="shared" si="157"/>
        <v>755</v>
      </c>
      <c r="I827" s="204">
        <f t="shared" si="157"/>
        <v>2930</v>
      </c>
      <c r="J827" s="558">
        <f t="shared" si="157"/>
        <v>3000</v>
      </c>
      <c r="K827" s="104">
        <f t="shared" si="157"/>
        <v>3000</v>
      </c>
      <c r="L827" s="104">
        <f t="shared" si="157"/>
        <v>978</v>
      </c>
      <c r="M827" s="104">
        <f>SUM(M826)</f>
        <v>978</v>
      </c>
      <c r="N827" s="104">
        <f>SUM(N826)</f>
        <v>1000</v>
      </c>
    </row>
    <row r="828" spans="1:14" x14ac:dyDescent="0.25">
      <c r="A828" s="190"/>
      <c r="B828" s="1"/>
      <c r="C828" s="188"/>
      <c r="D828" s="188"/>
      <c r="E828" s="188"/>
      <c r="F828" s="188"/>
      <c r="G828" s="187"/>
      <c r="H828" s="187"/>
      <c r="I828" s="187"/>
      <c r="J828" s="44"/>
    </row>
    <row r="829" spans="1:14" x14ac:dyDescent="0.25">
      <c r="A829" s="190"/>
      <c r="B829" s="1" t="s">
        <v>35</v>
      </c>
      <c r="C829" s="188"/>
      <c r="D829" s="188"/>
      <c r="E829" s="188"/>
      <c r="F829" s="188"/>
      <c r="G829" s="187"/>
      <c r="H829" s="187"/>
      <c r="I829" s="187"/>
      <c r="J829" s="44"/>
    </row>
    <row r="830" spans="1:14" s="249" customFormat="1" x14ac:dyDescent="0.25">
      <c r="A830" s="200" t="s">
        <v>692</v>
      </c>
      <c r="C830" s="169"/>
      <c r="D830" s="169"/>
      <c r="E830" s="169"/>
      <c r="F830" s="169"/>
      <c r="G830" s="214" t="s">
        <v>13</v>
      </c>
      <c r="H830" s="214"/>
      <c r="I830" s="214"/>
      <c r="J830" s="562"/>
      <c r="K830" s="200"/>
      <c r="L830" s="200"/>
      <c r="M830" s="214"/>
      <c r="N830" s="214"/>
    </row>
    <row r="831" spans="1:14" x14ac:dyDescent="0.25">
      <c r="A831" s="355">
        <v>510.03</v>
      </c>
      <c r="B831" s="203" t="s">
        <v>921</v>
      </c>
      <c r="C831" s="344"/>
      <c r="D831" s="344"/>
      <c r="E831" s="344"/>
      <c r="F831" s="344">
        <v>207620</v>
      </c>
      <c r="G831" s="204">
        <v>50000</v>
      </c>
      <c r="H831" s="204">
        <v>0</v>
      </c>
      <c r="I831" s="204">
        <v>0</v>
      </c>
      <c r="J831" s="226">
        <f>60000+7500+2500</f>
        <v>70000</v>
      </c>
      <c r="K831" s="204">
        <v>70000</v>
      </c>
      <c r="L831" s="204">
        <v>23704</v>
      </c>
      <c r="M831" s="204">
        <v>42209</v>
      </c>
      <c r="N831" s="204">
        <v>27791</v>
      </c>
    </row>
    <row r="832" spans="1:14" x14ac:dyDescent="0.25">
      <c r="A832" s="353">
        <v>580.29999999999995</v>
      </c>
      <c r="B832" s="203" t="s">
        <v>919</v>
      </c>
      <c r="C832" s="344"/>
      <c r="D832" s="344"/>
      <c r="E832" s="344"/>
      <c r="F832" s="344">
        <v>37380</v>
      </c>
      <c r="G832" s="204">
        <v>540000</v>
      </c>
      <c r="H832" s="204">
        <v>0</v>
      </c>
      <c r="I832" s="204">
        <v>0</v>
      </c>
      <c r="J832" s="204">
        <f>418325+61675+40000</f>
        <v>520000</v>
      </c>
      <c r="K832" s="204">
        <v>520000</v>
      </c>
      <c r="L832" s="204">
        <v>0</v>
      </c>
      <c r="M832" s="204">
        <v>0</v>
      </c>
      <c r="N832" s="204">
        <v>520000</v>
      </c>
    </row>
    <row r="833" spans="1:14" ht="18.75" thickBot="1" x14ac:dyDescent="0.3">
      <c r="A833" s="561">
        <v>580.35</v>
      </c>
      <c r="B833" s="199" t="s">
        <v>920</v>
      </c>
      <c r="C833" s="344"/>
      <c r="D833" s="344"/>
      <c r="E833" s="344"/>
      <c r="F833" s="344">
        <v>55000</v>
      </c>
      <c r="G833" s="204">
        <v>10000</v>
      </c>
      <c r="H833" s="204">
        <v>0</v>
      </c>
      <c r="I833" s="204">
        <v>0</v>
      </c>
      <c r="J833" s="204">
        <v>10000</v>
      </c>
      <c r="K833" s="207">
        <v>10000</v>
      </c>
      <c r="L833" s="207">
        <v>0</v>
      </c>
      <c r="M833" s="207">
        <v>0</v>
      </c>
      <c r="N833" s="207">
        <v>10000</v>
      </c>
    </row>
    <row r="834" spans="1:14" ht="18.75" thickBot="1" x14ac:dyDescent="0.3">
      <c r="A834" s="521" t="s">
        <v>922</v>
      </c>
      <c r="B834" s="557"/>
      <c r="C834" s="552"/>
      <c r="D834" s="344"/>
      <c r="E834" s="344"/>
      <c r="F834" s="344">
        <f t="shared" ref="F834:L834" si="158">SUM(F831:F833)</f>
        <v>300000</v>
      </c>
      <c r="G834" s="204">
        <f t="shared" si="158"/>
        <v>600000</v>
      </c>
      <c r="H834" s="204">
        <f t="shared" si="158"/>
        <v>0</v>
      </c>
      <c r="I834" s="204">
        <f t="shared" si="158"/>
        <v>0</v>
      </c>
      <c r="J834" s="558">
        <f t="shared" si="158"/>
        <v>600000</v>
      </c>
      <c r="K834" s="104">
        <f t="shared" si="158"/>
        <v>600000</v>
      </c>
      <c r="L834" s="104">
        <f t="shared" si="158"/>
        <v>23704</v>
      </c>
      <c r="M834" s="104">
        <f>SUM(M831:M833)</f>
        <v>42209</v>
      </c>
      <c r="N834" s="104">
        <f>SUM(N831:N833)</f>
        <v>557791</v>
      </c>
    </row>
    <row r="835" spans="1:14" x14ac:dyDescent="0.25">
      <c r="A835" s="190"/>
      <c r="B835" s="1"/>
      <c r="C835" s="188"/>
      <c r="D835" s="188"/>
      <c r="E835" s="188"/>
      <c r="F835" s="188"/>
      <c r="G835" s="187"/>
      <c r="H835" s="187"/>
      <c r="I835" s="187"/>
      <c r="J835" s="187"/>
    </row>
    <row r="836" spans="1:14" x14ac:dyDescent="0.25">
      <c r="A836" s="1" t="s">
        <v>693</v>
      </c>
      <c r="C836" s="188"/>
      <c r="D836" s="188"/>
      <c r="E836" s="188"/>
      <c r="F836" s="188"/>
      <c r="G836" s="187"/>
      <c r="H836" s="187"/>
      <c r="I836" s="187"/>
      <c r="J836" s="44"/>
    </row>
    <row r="837" spans="1:14" x14ac:dyDescent="0.25">
      <c r="A837" s="355">
        <v>510.03</v>
      </c>
      <c r="B837" s="203" t="s">
        <v>924</v>
      </c>
      <c r="C837" s="344"/>
      <c r="D837" s="344"/>
      <c r="E837" s="344"/>
      <c r="F837" s="344">
        <v>237000</v>
      </c>
      <c r="G837" s="204">
        <v>50000</v>
      </c>
      <c r="H837" s="204">
        <v>100931</v>
      </c>
      <c r="I837" s="204">
        <f>116404+25000</f>
        <v>141404</v>
      </c>
      <c r="J837" s="204">
        <v>50000</v>
      </c>
      <c r="K837" s="204">
        <v>50000</v>
      </c>
      <c r="L837" s="204">
        <v>77895.5</v>
      </c>
      <c r="M837" s="204">
        <v>86000</v>
      </c>
      <c r="N837" s="204">
        <v>20000</v>
      </c>
    </row>
    <row r="838" spans="1:14" x14ac:dyDescent="0.25">
      <c r="A838" s="353">
        <v>580.29999999999995</v>
      </c>
      <c r="B838" s="203" t="s">
        <v>919</v>
      </c>
      <c r="C838" s="344"/>
      <c r="D838" s="344"/>
      <c r="E838" s="344"/>
      <c r="F838" s="344">
        <v>25000</v>
      </c>
      <c r="G838" s="204">
        <v>540000</v>
      </c>
      <c r="H838" s="204">
        <v>0</v>
      </c>
      <c r="I838" s="204">
        <v>0</v>
      </c>
      <c r="J838" s="204">
        <v>540000</v>
      </c>
      <c r="K838" s="204">
        <v>540000</v>
      </c>
      <c r="L838" s="204">
        <v>0</v>
      </c>
      <c r="M838" s="204">
        <v>0</v>
      </c>
      <c r="N838" s="204">
        <v>540000</v>
      </c>
    </row>
    <row r="839" spans="1:14" ht="18.75" thickBot="1" x14ac:dyDescent="0.3">
      <c r="A839" s="561">
        <v>580.35</v>
      </c>
      <c r="B839" s="199" t="s">
        <v>920</v>
      </c>
      <c r="C839" s="344"/>
      <c r="D839" s="344"/>
      <c r="E839" s="344"/>
      <c r="F839" s="344">
        <v>23000</v>
      </c>
      <c r="G839" s="204">
        <v>10000</v>
      </c>
      <c r="H839" s="204">
        <v>0</v>
      </c>
      <c r="I839" s="204">
        <v>0</v>
      </c>
      <c r="J839" s="204">
        <v>10000</v>
      </c>
      <c r="K839" s="207">
        <v>10000</v>
      </c>
      <c r="L839" s="207">
        <v>0</v>
      </c>
      <c r="M839" s="207">
        <v>0</v>
      </c>
      <c r="N839" s="207">
        <v>10000</v>
      </c>
    </row>
    <row r="840" spans="1:14" ht="18.75" thickBot="1" x14ac:dyDescent="0.3">
      <c r="A840" s="539" t="s">
        <v>923</v>
      </c>
      <c r="B840" s="559"/>
      <c r="C840" s="188"/>
      <c r="D840" s="188"/>
      <c r="E840" s="188"/>
      <c r="F840" s="188">
        <f t="shared" ref="F840:L840" si="159">SUM(F837:F839)</f>
        <v>285000</v>
      </c>
      <c r="G840" s="214">
        <f t="shared" si="159"/>
        <v>600000</v>
      </c>
      <c r="H840" s="214">
        <f t="shared" si="159"/>
        <v>100931</v>
      </c>
      <c r="I840" s="214">
        <f t="shared" si="159"/>
        <v>141404</v>
      </c>
      <c r="J840" s="214">
        <f t="shared" si="159"/>
        <v>600000</v>
      </c>
      <c r="K840" s="104">
        <f t="shared" si="159"/>
        <v>600000</v>
      </c>
      <c r="L840" s="104">
        <f t="shared" si="159"/>
        <v>77895.5</v>
      </c>
      <c r="M840" s="104">
        <f>SUM(M837:M839)</f>
        <v>86000</v>
      </c>
      <c r="N840" s="104">
        <f>SUM(N837:N839)</f>
        <v>570000</v>
      </c>
    </row>
    <row r="841" spans="1:14" x14ac:dyDescent="0.25">
      <c r="A841" s="190"/>
      <c r="B841" s="1"/>
      <c r="C841" s="188"/>
      <c r="D841" s="188"/>
      <c r="E841" s="188"/>
      <c r="F841" s="188"/>
      <c r="G841" s="213"/>
      <c r="H841" s="213"/>
      <c r="I841" s="213"/>
      <c r="J841" s="213"/>
    </row>
    <row r="842" spans="1:14" x14ac:dyDescent="0.25">
      <c r="A842" s="190"/>
      <c r="B842" s="1" t="s">
        <v>294</v>
      </c>
      <c r="C842" s="188"/>
      <c r="D842" s="188"/>
      <c r="E842" s="188"/>
      <c r="F842" s="188" t="e">
        <f>SUM(F834,#REF!)</f>
        <v>#REF!</v>
      </c>
      <c r="G842" s="187" t="e">
        <f>SUM(G834,#REF!+G840)</f>
        <v>#REF!</v>
      </c>
      <c r="H842" s="187" t="e">
        <f>SUM(H834,#REF!+H840)</f>
        <v>#REF!</v>
      </c>
      <c r="I842" s="187" t="e">
        <f>SUM(I834,#REF!+I840)</f>
        <v>#REF!</v>
      </c>
      <c r="J842" s="187" t="e">
        <f>SUM(J834,#REF!+J840)</f>
        <v>#REF!</v>
      </c>
      <c r="K842" s="187">
        <f>+K834+K840</f>
        <v>1200000</v>
      </c>
      <c r="L842" s="187">
        <f>+L834+L840</f>
        <v>101599.5</v>
      </c>
      <c r="M842" s="187">
        <f>+M834+M840</f>
        <v>128209</v>
      </c>
      <c r="N842" s="187">
        <f>+N834+N840</f>
        <v>1127791</v>
      </c>
    </row>
    <row r="843" spans="1:14" x14ac:dyDescent="0.25">
      <c r="A843" s="190"/>
      <c r="B843" s="1"/>
      <c r="C843" s="188"/>
      <c r="D843" s="188"/>
      <c r="E843" s="188"/>
      <c r="F843" s="188"/>
      <c r="G843" s="187"/>
      <c r="H843" s="187"/>
      <c r="I843" s="187"/>
      <c r="J843" s="44"/>
    </row>
    <row r="844" spans="1:14" x14ac:dyDescent="0.25">
      <c r="A844" s="190"/>
      <c r="B844" s="1"/>
      <c r="C844" s="188"/>
      <c r="D844" s="188"/>
      <c r="E844" s="188"/>
      <c r="F844" s="188" t="e">
        <f>SUM(F823+F827-F834-#REF!)</f>
        <v>#REF!</v>
      </c>
      <c r="G844" s="187" t="e">
        <f>SUM(G823+G827-G834-#REF!-G840)</f>
        <v>#REF!</v>
      </c>
      <c r="H844" s="187" t="e">
        <f>SUM(H823+H827-H834-#REF!-H840)</f>
        <v>#REF!</v>
      </c>
      <c r="I844" s="187" t="e">
        <f>SUM(I823+I827-I834-#REF!-I840)</f>
        <v>#REF!</v>
      </c>
      <c r="J844" s="187" t="e">
        <f>SUM(J823+J827-J834-#REF!-J840)</f>
        <v>#REF!</v>
      </c>
    </row>
    <row r="845" spans="1:14" x14ac:dyDescent="0.25">
      <c r="A845" s="190"/>
      <c r="B845" s="1"/>
      <c r="C845" s="188"/>
      <c r="D845" s="188"/>
      <c r="E845" s="188"/>
      <c r="F845" s="188"/>
      <c r="G845" s="187"/>
      <c r="H845" s="187"/>
      <c r="I845" s="187"/>
      <c r="J845" s="44"/>
    </row>
    <row r="846" spans="1:14" x14ac:dyDescent="0.25">
      <c r="A846" s="190"/>
      <c r="B846" s="1"/>
      <c r="C846" s="188"/>
      <c r="D846" s="188"/>
      <c r="E846" s="188"/>
      <c r="F846" s="188"/>
      <c r="G846" s="187"/>
      <c r="H846" s="187"/>
      <c r="I846" s="187"/>
      <c r="J846" s="44"/>
    </row>
    <row r="847" spans="1:14" x14ac:dyDescent="0.25">
      <c r="A847" s="190"/>
      <c r="B847" s="1"/>
      <c r="C847" s="188"/>
      <c r="D847" s="188"/>
      <c r="E847" s="188"/>
      <c r="F847" s="188"/>
      <c r="G847" s="187"/>
      <c r="H847" s="187"/>
      <c r="I847" s="187"/>
      <c r="J847" s="44"/>
    </row>
    <row r="848" spans="1:14" x14ac:dyDescent="0.25">
      <c r="A848" s="190"/>
      <c r="B848" s="1"/>
      <c r="C848" s="188"/>
      <c r="D848" s="188"/>
      <c r="E848" s="188"/>
      <c r="F848" s="188"/>
      <c r="G848" s="148"/>
      <c r="H848" s="187"/>
      <c r="I848" s="187"/>
      <c r="J848" s="44"/>
    </row>
    <row r="849" spans="1:14" x14ac:dyDescent="0.25">
      <c r="A849" s="190"/>
      <c r="B849" s="94" t="s">
        <v>296</v>
      </c>
      <c r="C849" s="188"/>
      <c r="D849" s="188"/>
      <c r="E849" s="188"/>
      <c r="F849" s="188"/>
      <c r="G849" s="187"/>
      <c r="H849" s="187"/>
      <c r="I849" s="187"/>
      <c r="J849" s="44"/>
    </row>
    <row r="850" spans="1:14" x14ac:dyDescent="0.25">
      <c r="A850" s="190"/>
      <c r="B850" s="212"/>
      <c r="C850" s="210"/>
      <c r="D850" s="210"/>
      <c r="E850" s="210"/>
      <c r="F850" s="210"/>
      <c r="G850" s="211"/>
      <c r="H850" s="79"/>
      <c r="I850" s="80" t="str">
        <f>+I2</f>
        <v xml:space="preserve"> Estimated</v>
      </c>
      <c r="J850" s="80" t="s">
        <v>778</v>
      </c>
      <c r="K850" s="80" t="s">
        <v>767</v>
      </c>
      <c r="L850" s="359"/>
      <c r="M850" s="87" t="s">
        <v>655</v>
      </c>
      <c r="N850" s="87" t="s">
        <v>802</v>
      </c>
    </row>
    <row r="851" spans="1:14" x14ac:dyDescent="0.25">
      <c r="A851" s="190"/>
      <c r="B851" s="359" t="s">
        <v>30</v>
      </c>
      <c r="C851" s="210"/>
      <c r="D851" s="210"/>
      <c r="E851" s="210"/>
      <c r="F851" s="147" t="s">
        <v>189</v>
      </c>
      <c r="G851" s="132" t="str">
        <f>+G3</f>
        <v>Budget 2016-17</v>
      </c>
      <c r="H851" s="132" t="str">
        <f>+H3</f>
        <v>Actual 5/31/17</v>
      </c>
      <c r="I851" s="234">
        <f>+I3</f>
        <v>43008</v>
      </c>
      <c r="J851" s="132" t="str">
        <f>+J3</f>
        <v>Budget 2017-18</v>
      </c>
      <c r="K851" s="132" t="s">
        <v>766</v>
      </c>
      <c r="L851" s="132" t="s">
        <v>779</v>
      </c>
      <c r="M851" s="380">
        <v>43373</v>
      </c>
      <c r="N851" s="379" t="s">
        <v>803</v>
      </c>
    </row>
    <row r="852" spans="1:14" x14ac:dyDescent="0.25">
      <c r="A852" s="190"/>
      <c r="B852" s="200" t="s">
        <v>31</v>
      </c>
      <c r="C852" s="169"/>
      <c r="D852" s="169"/>
      <c r="E852" s="169"/>
      <c r="F852" s="563">
        <v>2278269</v>
      </c>
      <c r="G852" s="195">
        <v>4137583</v>
      </c>
      <c r="H852" s="195"/>
      <c r="I852" s="195"/>
      <c r="J852" s="195">
        <v>3470000</v>
      </c>
      <c r="K852" s="214"/>
      <c r="L852" s="249"/>
      <c r="M852" s="214"/>
      <c r="N852" s="214"/>
    </row>
    <row r="853" spans="1:14" x14ac:dyDescent="0.25">
      <c r="A853" s="190"/>
      <c r="B853" s="564">
        <v>3748671</v>
      </c>
      <c r="C853" s="169"/>
      <c r="D853" s="169"/>
      <c r="E853" s="169"/>
      <c r="F853" s="563"/>
      <c r="G853" s="195"/>
      <c r="H853" s="195"/>
      <c r="I853" s="195"/>
      <c r="J853" s="562"/>
      <c r="K853" s="200"/>
      <c r="L853" s="249"/>
      <c r="M853" s="214"/>
      <c r="N853" s="214"/>
    </row>
    <row r="854" spans="1:14" x14ac:dyDescent="0.25">
      <c r="A854" s="190"/>
      <c r="B854" s="1" t="s">
        <v>34</v>
      </c>
      <c r="C854" s="188"/>
      <c r="D854" s="188"/>
      <c r="E854" s="188"/>
      <c r="F854" s="191"/>
      <c r="G854" s="192"/>
      <c r="H854" s="192"/>
      <c r="I854" s="192"/>
      <c r="J854" s="44"/>
    </row>
    <row r="855" spans="1:14" x14ac:dyDescent="0.25">
      <c r="A855" s="190"/>
      <c r="B855" s="199" t="s">
        <v>299</v>
      </c>
      <c r="C855" s="188"/>
      <c r="D855" s="188"/>
      <c r="E855" s="188"/>
      <c r="F855" s="191"/>
      <c r="G855" s="192"/>
      <c r="H855" s="192"/>
      <c r="I855" s="192"/>
      <c r="J855" s="44"/>
    </row>
    <row r="856" spans="1:14" x14ac:dyDescent="0.25">
      <c r="A856" s="355" t="s">
        <v>936</v>
      </c>
      <c r="B856" s="203" t="s">
        <v>925</v>
      </c>
      <c r="C856" s="344"/>
      <c r="D856" s="344"/>
      <c r="E856" s="344"/>
      <c r="F856" s="348">
        <v>25000</v>
      </c>
      <c r="G856" s="202">
        <v>15000</v>
      </c>
      <c r="H856" s="202">
        <v>19946</v>
      </c>
      <c r="I856" s="202">
        <v>20000</v>
      </c>
      <c r="J856" s="202">
        <v>15000</v>
      </c>
      <c r="K856" s="202">
        <v>15000</v>
      </c>
      <c r="L856" s="202">
        <v>18455.32</v>
      </c>
      <c r="M856" s="204">
        <v>20000</v>
      </c>
      <c r="N856" s="204">
        <v>15000</v>
      </c>
    </row>
    <row r="857" spans="1:14" x14ac:dyDescent="0.25">
      <c r="A857" s="355">
        <v>370.04</v>
      </c>
      <c r="B857" s="203" t="s">
        <v>926</v>
      </c>
      <c r="C857" s="344"/>
      <c r="D857" s="344"/>
      <c r="E857" s="344"/>
      <c r="F857" s="348"/>
      <c r="G857" s="205">
        <v>4000</v>
      </c>
      <c r="H857" s="202">
        <v>2428</v>
      </c>
      <c r="I857" s="202">
        <v>3500</v>
      </c>
      <c r="J857" s="202">
        <v>3500</v>
      </c>
      <c r="K857" s="202">
        <v>3500</v>
      </c>
      <c r="L857" s="202">
        <v>317.11</v>
      </c>
      <c r="M857" s="204">
        <v>500</v>
      </c>
      <c r="N857" s="204">
        <v>2000</v>
      </c>
    </row>
    <row r="858" spans="1:14" x14ac:dyDescent="0.25">
      <c r="A858" s="355">
        <v>370.05</v>
      </c>
      <c r="B858" s="203" t="s">
        <v>927</v>
      </c>
      <c r="C858" s="344"/>
      <c r="D858" s="344"/>
      <c r="E858" s="344"/>
      <c r="F858" s="348"/>
      <c r="G858" s="202">
        <v>4000</v>
      </c>
      <c r="H858" s="202">
        <v>2619</v>
      </c>
      <c r="I858" s="202">
        <v>4000</v>
      </c>
      <c r="J858" s="202">
        <v>3000</v>
      </c>
      <c r="K858" s="202">
        <v>3000</v>
      </c>
      <c r="L858" s="202">
        <v>-809.91</v>
      </c>
      <c r="M858" s="204">
        <v>-810</v>
      </c>
      <c r="N858" s="204">
        <v>1000</v>
      </c>
    </row>
    <row r="859" spans="1:14" x14ac:dyDescent="0.25">
      <c r="A859" s="355">
        <v>370.06</v>
      </c>
      <c r="B859" s="203" t="s">
        <v>928</v>
      </c>
      <c r="C859" s="344"/>
      <c r="D859" s="344"/>
      <c r="E859" s="344"/>
      <c r="F859" s="348"/>
      <c r="G859" s="202">
        <v>2000</v>
      </c>
      <c r="H859" s="202">
        <v>-198</v>
      </c>
      <c r="I859" s="202">
        <v>0</v>
      </c>
      <c r="J859" s="202">
        <v>0</v>
      </c>
      <c r="K859" s="202">
        <v>0</v>
      </c>
      <c r="L859" s="202">
        <v>1405</v>
      </c>
      <c r="M859" s="204">
        <v>1500</v>
      </c>
      <c r="N859" s="204">
        <v>1000</v>
      </c>
    </row>
    <row r="860" spans="1:14" x14ac:dyDescent="0.25">
      <c r="A860" s="355">
        <v>370.07</v>
      </c>
      <c r="B860" s="203" t="s">
        <v>929</v>
      </c>
      <c r="C860" s="344"/>
      <c r="D860" s="344"/>
      <c r="E860" s="344"/>
      <c r="F860" s="348"/>
      <c r="G860" s="202">
        <v>30000</v>
      </c>
      <c r="H860" s="202">
        <v>8463</v>
      </c>
      <c r="I860" s="202">
        <v>15000</v>
      </c>
      <c r="J860" s="202">
        <v>10000</v>
      </c>
      <c r="K860" s="202">
        <v>10000</v>
      </c>
      <c r="L860" s="202">
        <v>28827.08</v>
      </c>
      <c r="M860" s="204">
        <v>30000</v>
      </c>
      <c r="N860" s="204">
        <v>25000</v>
      </c>
    </row>
    <row r="861" spans="1:14" x14ac:dyDescent="0.25">
      <c r="A861" s="355">
        <v>370.08</v>
      </c>
      <c r="B861" s="203" t="s">
        <v>930</v>
      </c>
      <c r="C861" s="344"/>
      <c r="D861" s="344"/>
      <c r="E861" s="344"/>
      <c r="F861" s="348"/>
      <c r="G861" s="202">
        <v>40000</v>
      </c>
      <c r="H861" s="202">
        <v>33872</v>
      </c>
      <c r="I861" s="202">
        <f>40000+198500</f>
        <v>238500</v>
      </c>
      <c r="J861" s="202">
        <f>7000*12</f>
        <v>84000</v>
      </c>
      <c r="K861" s="202">
        <f>7000*12</f>
        <v>84000</v>
      </c>
      <c r="L861" s="202">
        <v>258336.5</v>
      </c>
      <c r="M861" s="204">
        <v>303000</v>
      </c>
      <c r="N861" s="204">
        <v>150000</v>
      </c>
    </row>
    <row r="862" spans="1:14" x14ac:dyDescent="0.25">
      <c r="A862" s="355">
        <v>370.09</v>
      </c>
      <c r="B862" s="203" t="s">
        <v>931</v>
      </c>
      <c r="C862" s="344"/>
      <c r="D862" s="344"/>
      <c r="E862" s="344"/>
      <c r="F862" s="348"/>
      <c r="G862" s="202">
        <v>12000</v>
      </c>
      <c r="H862" s="202">
        <v>10200</v>
      </c>
      <c r="I862" s="202">
        <v>15000</v>
      </c>
      <c r="J862" s="202">
        <v>10000</v>
      </c>
      <c r="K862" s="202">
        <v>10000</v>
      </c>
      <c r="L862" s="202">
        <v>27491.37</v>
      </c>
      <c r="M862" s="204">
        <v>30000</v>
      </c>
      <c r="N862" s="204">
        <v>15000</v>
      </c>
    </row>
    <row r="863" spans="1:14" x14ac:dyDescent="0.25">
      <c r="A863" s="355">
        <v>370.12</v>
      </c>
      <c r="B863" s="203" t="s">
        <v>932</v>
      </c>
      <c r="C863" s="344"/>
      <c r="D863" s="344"/>
      <c r="E863" s="344"/>
      <c r="F863" s="348"/>
      <c r="G863" s="202">
        <v>1000000</v>
      </c>
      <c r="H863" s="202">
        <v>352578</v>
      </c>
      <c r="I863" s="202">
        <v>592500</v>
      </c>
      <c r="J863" s="202">
        <f>39000*12</f>
        <v>468000</v>
      </c>
      <c r="K863" s="202">
        <f>39000*12</f>
        <v>468000</v>
      </c>
      <c r="L863" s="202">
        <v>280944.08</v>
      </c>
      <c r="M863" s="204">
        <v>300000</v>
      </c>
      <c r="N863" s="204">
        <v>300000</v>
      </c>
    </row>
    <row r="864" spans="1:14" x14ac:dyDescent="0.25">
      <c r="A864" s="355"/>
      <c r="B864" s="203" t="s">
        <v>933</v>
      </c>
      <c r="C864" s="344"/>
      <c r="D864" s="344"/>
      <c r="E864" s="344"/>
      <c r="F864" s="348"/>
      <c r="G864" s="202">
        <v>0</v>
      </c>
      <c r="H864" s="202">
        <v>0</v>
      </c>
      <c r="I864" s="202">
        <v>0</v>
      </c>
      <c r="J864" s="202">
        <v>0</v>
      </c>
      <c r="K864" s="202">
        <v>0</v>
      </c>
      <c r="L864" s="202">
        <v>0</v>
      </c>
      <c r="M864" s="204">
        <v>0</v>
      </c>
      <c r="N864" s="204">
        <v>0</v>
      </c>
    </row>
    <row r="865" spans="1:14" x14ac:dyDescent="0.25">
      <c r="A865" s="353">
        <v>370.2</v>
      </c>
      <c r="B865" s="203" t="s">
        <v>934</v>
      </c>
      <c r="C865" s="344"/>
      <c r="D865" s="344"/>
      <c r="E865" s="344"/>
      <c r="F865" s="348">
        <v>0</v>
      </c>
      <c r="G865" s="202">
        <v>15000</v>
      </c>
      <c r="H865" s="202">
        <v>21307</v>
      </c>
      <c r="I865" s="202">
        <f>2625*12</f>
        <v>31500</v>
      </c>
      <c r="J865" s="202">
        <v>15000</v>
      </c>
      <c r="K865" s="202">
        <v>15000</v>
      </c>
      <c r="L865" s="202">
        <v>2010.66</v>
      </c>
      <c r="M865" s="204">
        <v>2011</v>
      </c>
      <c r="N865" s="204">
        <v>2000</v>
      </c>
    </row>
    <row r="866" spans="1:14" x14ac:dyDescent="0.25">
      <c r="A866" s="469"/>
      <c r="B866" s="436" t="s">
        <v>12</v>
      </c>
      <c r="C866" s="346"/>
      <c r="D866" s="346"/>
      <c r="E866" s="346"/>
      <c r="F866" s="470">
        <f t="shared" ref="F866:L866" si="160">SUM(F856:F865)</f>
        <v>25000</v>
      </c>
      <c r="G866" s="452">
        <f t="shared" si="160"/>
        <v>1122000</v>
      </c>
      <c r="H866" s="452">
        <f t="shared" si="160"/>
        <v>451215</v>
      </c>
      <c r="I866" s="452">
        <f t="shared" si="160"/>
        <v>920000</v>
      </c>
      <c r="J866" s="452">
        <f t="shared" si="160"/>
        <v>608500</v>
      </c>
      <c r="K866" s="136">
        <f t="shared" si="160"/>
        <v>608500</v>
      </c>
      <c r="L866" s="136">
        <f t="shared" si="160"/>
        <v>616977.21000000008</v>
      </c>
      <c r="M866" s="136">
        <f>SUM(M856:M865)</f>
        <v>686201</v>
      </c>
      <c r="N866" s="136">
        <f>SUM(N856:N865)</f>
        <v>511000</v>
      </c>
    </row>
    <row r="867" spans="1:14" x14ac:dyDescent="0.25">
      <c r="A867" s="355">
        <v>370.19</v>
      </c>
      <c r="B867" s="203" t="s">
        <v>935</v>
      </c>
      <c r="C867" s="188"/>
      <c r="D867" s="188"/>
      <c r="E867" s="188"/>
      <c r="F867" s="191">
        <v>300000</v>
      </c>
      <c r="G867" s="205">
        <v>0</v>
      </c>
      <c r="H867" s="202">
        <v>0</v>
      </c>
      <c r="I867" s="202">
        <v>0</v>
      </c>
      <c r="J867" s="204">
        <f>700000+700000</f>
        <v>1400000</v>
      </c>
      <c r="K867" s="204">
        <v>1400000</v>
      </c>
      <c r="L867" s="204">
        <v>0</v>
      </c>
      <c r="M867" s="204">
        <v>1400000</v>
      </c>
      <c r="N867" s="204">
        <v>1900000</v>
      </c>
    </row>
    <row r="868" spans="1:14" ht="36" x14ac:dyDescent="0.25">
      <c r="A868" s="355"/>
      <c r="B868" s="569" t="s">
        <v>956</v>
      </c>
      <c r="C868" s="188"/>
      <c r="D868" s="188"/>
      <c r="E868" s="188"/>
      <c r="F868" s="191"/>
      <c r="G868" s="205"/>
      <c r="H868" s="202"/>
      <c r="I868" s="202"/>
      <c r="J868" s="204"/>
      <c r="K868" s="204">
        <v>0</v>
      </c>
      <c r="L868" s="204">
        <v>0</v>
      </c>
      <c r="M868" s="204">
        <v>0</v>
      </c>
      <c r="N868" s="204">
        <v>3100000</v>
      </c>
    </row>
    <row r="869" spans="1:14" ht="18.75" thickBot="1" x14ac:dyDescent="0.3">
      <c r="A869" s="561">
        <v>370.15</v>
      </c>
      <c r="B869" s="199" t="s">
        <v>116</v>
      </c>
      <c r="C869" s="188"/>
      <c r="D869" s="188"/>
      <c r="E869" s="188"/>
      <c r="F869" s="191">
        <v>0</v>
      </c>
      <c r="G869" s="202">
        <v>5000</v>
      </c>
      <c r="H869" s="202">
        <v>2276</v>
      </c>
      <c r="I869" s="202">
        <v>4500</v>
      </c>
      <c r="J869" s="204">
        <v>5500</v>
      </c>
      <c r="K869" s="207">
        <v>5500</v>
      </c>
      <c r="L869" s="207">
        <v>2024</v>
      </c>
      <c r="M869" s="207">
        <v>2200</v>
      </c>
      <c r="N869" s="207">
        <v>2000</v>
      </c>
    </row>
    <row r="870" spans="1:14" ht="18.75" thickBot="1" x14ac:dyDescent="0.3">
      <c r="A870" s="582" t="s">
        <v>297</v>
      </c>
      <c r="B870" s="557"/>
      <c r="C870" s="95"/>
      <c r="D870" s="95"/>
      <c r="E870" s="95"/>
      <c r="F870" s="139" t="e">
        <f>SUM(#REF!+F866+#REF!+F867+F869)</f>
        <v>#REF!</v>
      </c>
      <c r="G870" s="452" t="e">
        <f>SUM(G866+#REF!+G867+#REF!+G869)</f>
        <v>#REF!</v>
      </c>
      <c r="H870" s="452" t="e">
        <f>SUM(H866+#REF!+H867+#REF!+H869)</f>
        <v>#REF!</v>
      </c>
      <c r="I870" s="452" t="e">
        <f>SUM(I866+#REF!+I867+#REF!+I869)</f>
        <v>#REF!</v>
      </c>
      <c r="J870" s="565" t="e">
        <f>SUM(J866+#REF!+J867+#REF!+J869)</f>
        <v>#REF!</v>
      </c>
      <c r="K870" s="566">
        <f>SUM(K866+K867+K869)</f>
        <v>2014000</v>
      </c>
      <c r="L870" s="566">
        <f>SUM(L866+L867+L869)</f>
        <v>619001.21000000008</v>
      </c>
      <c r="M870" s="566">
        <f>SUM(M866+M867+M869)</f>
        <v>2088401</v>
      </c>
      <c r="N870" s="566">
        <f>N866+N867+N868+N869</f>
        <v>5513000</v>
      </c>
    </row>
    <row r="871" spans="1:14" x14ac:dyDescent="0.25">
      <c r="A871" s="190"/>
      <c r="B871" s="1" t="s">
        <v>35</v>
      </c>
      <c r="C871" s="188"/>
      <c r="D871" s="188"/>
      <c r="E871" s="188"/>
      <c r="F871" s="191"/>
      <c r="G871" s="192"/>
      <c r="H871" s="192"/>
      <c r="I871" s="192"/>
      <c r="J871" s="44"/>
    </row>
    <row r="872" spans="1:14" s="86" customFormat="1" x14ac:dyDescent="0.25">
      <c r="A872" s="396">
        <v>650.01</v>
      </c>
      <c r="B872" s="316" t="s">
        <v>937</v>
      </c>
      <c r="C872" s="327"/>
      <c r="D872" s="327"/>
      <c r="E872" s="327"/>
      <c r="F872" s="342"/>
      <c r="G872" s="205">
        <v>30000</v>
      </c>
      <c r="H872" s="205">
        <v>14718</v>
      </c>
      <c r="I872" s="205">
        <v>30000</v>
      </c>
      <c r="J872" s="205">
        <v>25000</v>
      </c>
      <c r="K872" s="205">
        <v>25000</v>
      </c>
      <c r="L872" s="205">
        <v>0</v>
      </c>
      <c r="M872" s="204">
        <v>0</v>
      </c>
      <c r="N872" s="204">
        <v>25000</v>
      </c>
    </row>
    <row r="873" spans="1:14" ht="36" x14ac:dyDescent="0.25">
      <c r="A873" s="396">
        <v>650.05999999999995</v>
      </c>
      <c r="B873" s="570" t="s">
        <v>946</v>
      </c>
      <c r="C873" s="327"/>
      <c r="D873" s="327"/>
      <c r="E873" s="327"/>
      <c r="F873" s="342">
        <v>224298</v>
      </c>
      <c r="G873" s="398">
        <f>107761+43736</f>
        <v>151497</v>
      </c>
      <c r="H873" s="398">
        <v>263397</v>
      </c>
      <c r="I873" s="398">
        <v>263397</v>
      </c>
      <c r="J873" s="398">
        <v>140000</v>
      </c>
      <c r="K873" s="205">
        <v>140000</v>
      </c>
      <c r="L873" s="205">
        <v>0</v>
      </c>
      <c r="M873" s="204">
        <v>0</v>
      </c>
      <c r="N873" s="204">
        <v>310000</v>
      </c>
    </row>
    <row r="874" spans="1:14" ht="36" x14ac:dyDescent="0.25">
      <c r="A874" s="355">
        <v>650.07000000000005</v>
      </c>
      <c r="B874" s="569" t="s">
        <v>939</v>
      </c>
      <c r="C874" s="344"/>
      <c r="D874" s="344"/>
      <c r="E874" s="344"/>
      <c r="F874" s="348">
        <v>25000</v>
      </c>
      <c r="G874" s="399">
        <v>150000</v>
      </c>
      <c r="H874" s="399">
        <v>125359</v>
      </c>
      <c r="I874" s="399">
        <v>150000</v>
      </c>
      <c r="J874" s="398">
        <v>150000</v>
      </c>
      <c r="K874" s="205">
        <v>150000</v>
      </c>
      <c r="L874" s="205">
        <v>12170</v>
      </c>
      <c r="M874" s="204">
        <v>13000</v>
      </c>
      <c r="N874" s="204">
        <v>1000000</v>
      </c>
    </row>
    <row r="875" spans="1:14" ht="36" x14ac:dyDescent="0.25">
      <c r="A875" s="355">
        <v>650.08000000000004</v>
      </c>
      <c r="B875" s="569" t="s">
        <v>940</v>
      </c>
      <c r="C875" s="344"/>
      <c r="D875" s="344"/>
      <c r="E875" s="344"/>
      <c r="F875" s="348"/>
      <c r="G875" s="399"/>
      <c r="H875" s="399"/>
      <c r="I875" s="399"/>
      <c r="J875" s="398"/>
      <c r="K875" s="205">
        <v>0</v>
      </c>
      <c r="L875" s="205">
        <v>0</v>
      </c>
      <c r="M875" s="204">
        <v>0</v>
      </c>
      <c r="N875" s="204">
        <v>400000</v>
      </c>
    </row>
    <row r="876" spans="1:14" ht="54" x14ac:dyDescent="0.25">
      <c r="A876" s="355">
        <v>650.09</v>
      </c>
      <c r="B876" s="569" t="s">
        <v>944</v>
      </c>
      <c r="C876" s="344"/>
      <c r="D876" s="344"/>
      <c r="E876" s="344"/>
      <c r="F876" s="348"/>
      <c r="G876" s="399">
        <v>140000</v>
      </c>
      <c r="H876" s="399">
        <v>33778</v>
      </c>
      <c r="I876" s="399">
        <v>35000</v>
      </c>
      <c r="J876" s="399">
        <v>10000</v>
      </c>
      <c r="K876" s="202">
        <v>10000</v>
      </c>
      <c r="L876" s="202">
        <v>0</v>
      </c>
      <c r="M876" s="204">
        <v>0</v>
      </c>
      <c r="N876" s="204">
        <v>200000</v>
      </c>
    </row>
    <row r="877" spans="1:14" ht="36" x14ac:dyDescent="0.25">
      <c r="A877" s="353">
        <v>650.20000000000005</v>
      </c>
      <c r="B877" s="569" t="s">
        <v>644</v>
      </c>
      <c r="C877" s="344"/>
      <c r="D877" s="344"/>
      <c r="E877" s="344"/>
      <c r="F877" s="348"/>
      <c r="G877" s="399">
        <v>70000</v>
      </c>
      <c r="H877" s="399">
        <v>15139</v>
      </c>
      <c r="I877" s="399">
        <v>18088</v>
      </c>
      <c r="J877" s="399">
        <v>70000</v>
      </c>
      <c r="K877" s="202">
        <v>70000</v>
      </c>
      <c r="L877" s="202">
        <v>0</v>
      </c>
      <c r="M877" s="204">
        <v>0</v>
      </c>
      <c r="N877" s="204">
        <v>70000</v>
      </c>
    </row>
    <row r="878" spans="1:14" ht="36" x14ac:dyDescent="0.25">
      <c r="A878" s="396">
        <v>650.25</v>
      </c>
      <c r="B878" s="569" t="s">
        <v>945</v>
      </c>
      <c r="C878" s="206"/>
      <c r="D878" s="206"/>
      <c r="E878" s="206"/>
      <c r="F878" s="206"/>
      <c r="G878" s="400">
        <v>0</v>
      </c>
      <c r="H878" s="399">
        <v>4730</v>
      </c>
      <c r="I878" s="399">
        <v>4730</v>
      </c>
      <c r="J878" s="399">
        <v>85000</v>
      </c>
      <c r="K878" s="202">
        <v>85000</v>
      </c>
      <c r="L878" s="202">
        <v>0</v>
      </c>
      <c r="M878" s="204">
        <v>0</v>
      </c>
      <c r="N878" s="204">
        <v>85000</v>
      </c>
    </row>
    <row r="879" spans="1:14" ht="39.75" customHeight="1" x14ac:dyDescent="0.25">
      <c r="A879" s="396">
        <v>650.27</v>
      </c>
      <c r="B879" s="569" t="s">
        <v>668</v>
      </c>
      <c r="C879" s="344"/>
      <c r="D879" s="344"/>
      <c r="E879" s="344"/>
      <c r="F879" s="348"/>
      <c r="G879" s="399">
        <v>32000</v>
      </c>
      <c r="H879" s="399">
        <v>0</v>
      </c>
      <c r="I879" s="399">
        <v>0</v>
      </c>
      <c r="J879" s="399">
        <v>32850</v>
      </c>
      <c r="K879" s="202">
        <v>32850</v>
      </c>
      <c r="L879" s="202">
        <v>0</v>
      </c>
      <c r="M879" s="204">
        <v>0</v>
      </c>
      <c r="N879" s="204">
        <v>55000</v>
      </c>
    </row>
    <row r="880" spans="1:14" ht="54" customHeight="1" x14ac:dyDescent="0.25">
      <c r="A880" s="355">
        <v>650.28</v>
      </c>
      <c r="B880" s="569" t="s">
        <v>949</v>
      </c>
      <c r="C880" s="344"/>
      <c r="D880" s="344"/>
      <c r="E880" s="344"/>
      <c r="F880" s="348"/>
      <c r="G880" s="399">
        <v>57700</v>
      </c>
      <c r="H880" s="399">
        <v>0</v>
      </c>
      <c r="I880" s="399">
        <v>0</v>
      </c>
      <c r="J880" s="398">
        <v>57700</v>
      </c>
      <c r="K880" s="205">
        <v>57700</v>
      </c>
      <c r="L880" s="205">
        <v>0</v>
      </c>
      <c r="M880" s="204">
        <v>0</v>
      </c>
      <c r="N880" s="204">
        <v>440000</v>
      </c>
    </row>
    <row r="881" spans="1:14" ht="36" x14ac:dyDescent="0.25">
      <c r="A881" s="353">
        <v>650.9</v>
      </c>
      <c r="B881" s="569" t="s">
        <v>947</v>
      </c>
      <c r="C881" s="344"/>
      <c r="D881" s="344"/>
      <c r="E881" s="344"/>
      <c r="F881" s="348"/>
      <c r="G881" s="399">
        <v>0</v>
      </c>
      <c r="H881" s="399">
        <v>0</v>
      </c>
      <c r="I881" s="399">
        <v>0</v>
      </c>
      <c r="J881" s="399">
        <f>60000/3</f>
        <v>20000</v>
      </c>
      <c r="K881" s="202">
        <f>60000/3</f>
        <v>20000</v>
      </c>
      <c r="L881" s="202">
        <v>0</v>
      </c>
      <c r="M881" s="204">
        <v>0</v>
      </c>
      <c r="N881" s="204">
        <v>50000</v>
      </c>
    </row>
    <row r="882" spans="1:14" ht="36" x14ac:dyDescent="0.25">
      <c r="A882" s="353">
        <v>651</v>
      </c>
      <c r="B882" s="568" t="s">
        <v>948</v>
      </c>
      <c r="C882" s="344"/>
      <c r="D882" s="344"/>
      <c r="E882" s="344"/>
      <c r="F882" s="348"/>
      <c r="G882" s="399">
        <v>0</v>
      </c>
      <c r="H882" s="399">
        <v>0</v>
      </c>
      <c r="I882" s="399">
        <v>0</v>
      </c>
      <c r="J882" s="399">
        <v>335000</v>
      </c>
      <c r="K882" s="202">
        <v>335000</v>
      </c>
      <c r="L882" s="202">
        <v>0</v>
      </c>
      <c r="M882" s="204">
        <v>0</v>
      </c>
      <c r="N882" s="204">
        <v>50000</v>
      </c>
    </row>
    <row r="883" spans="1:14" ht="36" x14ac:dyDescent="0.25">
      <c r="A883" s="353">
        <v>654</v>
      </c>
      <c r="B883" s="569" t="s">
        <v>752</v>
      </c>
      <c r="C883" s="344"/>
      <c r="D883" s="344"/>
      <c r="E883" s="344"/>
      <c r="F883" s="348"/>
      <c r="G883" s="399">
        <v>0</v>
      </c>
      <c r="H883" s="399">
        <v>0</v>
      </c>
      <c r="I883" s="399">
        <v>0</v>
      </c>
      <c r="J883" s="399">
        <v>275000</v>
      </c>
      <c r="K883" s="202">
        <v>275000</v>
      </c>
      <c r="L883" s="202">
        <v>0</v>
      </c>
      <c r="M883" s="204">
        <v>275000</v>
      </c>
      <c r="N883" s="204">
        <v>385000</v>
      </c>
    </row>
    <row r="884" spans="1:14" ht="54" x14ac:dyDescent="0.25">
      <c r="A884" s="353"/>
      <c r="B884" s="571" t="s">
        <v>950</v>
      </c>
      <c r="C884" s="206"/>
      <c r="D884" s="206"/>
      <c r="E884" s="206"/>
      <c r="F884" s="206"/>
      <c r="G884" s="400"/>
      <c r="H884" s="399"/>
      <c r="I884" s="399"/>
      <c r="J884" s="399"/>
      <c r="K884" s="202">
        <v>0</v>
      </c>
      <c r="L884" s="202">
        <v>0</v>
      </c>
      <c r="M884" s="204">
        <v>0</v>
      </c>
      <c r="N884" s="204">
        <v>1365000</v>
      </c>
    </row>
    <row r="885" spans="1:14" ht="36" x14ac:dyDescent="0.25">
      <c r="A885" s="353"/>
      <c r="B885" s="571" t="s">
        <v>953</v>
      </c>
      <c r="C885" s="206"/>
      <c r="D885" s="206"/>
      <c r="E885" s="206"/>
      <c r="F885" s="206"/>
      <c r="G885" s="400"/>
      <c r="H885" s="399"/>
      <c r="I885" s="399"/>
      <c r="J885" s="399"/>
      <c r="K885" s="202">
        <v>0</v>
      </c>
      <c r="L885" s="402">
        <v>0</v>
      </c>
      <c r="M885" s="292">
        <v>0</v>
      </c>
      <c r="N885" s="292">
        <v>100000</v>
      </c>
    </row>
    <row r="886" spans="1:14" ht="36" x14ac:dyDescent="0.25">
      <c r="A886" s="353"/>
      <c r="B886" s="571" t="s">
        <v>954</v>
      </c>
      <c r="C886" s="206"/>
      <c r="D886" s="206"/>
      <c r="E886" s="206"/>
      <c r="F886" s="206"/>
      <c r="G886" s="400"/>
      <c r="H886" s="399"/>
      <c r="I886" s="399"/>
      <c r="J886" s="399"/>
      <c r="K886" s="202">
        <v>0</v>
      </c>
      <c r="L886" s="402">
        <v>0</v>
      </c>
      <c r="M886" s="292">
        <v>0</v>
      </c>
      <c r="N886" s="292">
        <v>105000</v>
      </c>
    </row>
    <row r="887" spans="1:14" ht="54" x14ac:dyDescent="0.25">
      <c r="A887" s="353"/>
      <c r="B887" s="571" t="s">
        <v>955</v>
      </c>
      <c r="C887" s="206"/>
      <c r="D887" s="206"/>
      <c r="E887" s="206"/>
      <c r="F887" s="206"/>
      <c r="G887" s="400"/>
      <c r="H887" s="399"/>
      <c r="I887" s="399"/>
      <c r="J887" s="399"/>
      <c r="K887" s="202">
        <v>0</v>
      </c>
      <c r="L887" s="402">
        <v>0</v>
      </c>
      <c r="M887" s="292">
        <v>0</v>
      </c>
      <c r="N887" s="292">
        <v>360000</v>
      </c>
    </row>
    <row r="888" spans="1:14" ht="36" x14ac:dyDescent="0.25">
      <c r="A888" s="355"/>
      <c r="B888" s="569" t="s">
        <v>430</v>
      </c>
      <c r="C888" s="344"/>
      <c r="D888" s="344"/>
      <c r="E888" s="344"/>
      <c r="F888" s="348">
        <f>SUM(F873:F882)</f>
        <v>249298</v>
      </c>
      <c r="G888" s="202">
        <f>SUM(G872:G883)</f>
        <v>631197</v>
      </c>
      <c r="H888" s="202">
        <f>SUM(H872:H883)</f>
        <v>457121</v>
      </c>
      <c r="I888" s="202">
        <f>SUM(I872:I883)</f>
        <v>501215</v>
      </c>
      <c r="J888" s="202">
        <f>SUM(J872:J883)</f>
        <v>1200550</v>
      </c>
      <c r="K888" s="202">
        <f>SUM(K872:K887)</f>
        <v>1200550</v>
      </c>
      <c r="L888" s="402">
        <f>SUM(L872:L887)</f>
        <v>12170</v>
      </c>
      <c r="M888" s="402">
        <f>SUM(M872:M887)</f>
        <v>288000</v>
      </c>
      <c r="N888" s="402">
        <f>SUM(N872:N887)</f>
        <v>5000000</v>
      </c>
    </row>
    <row r="889" spans="1:14" ht="18.75" thickBot="1" x14ac:dyDescent="0.3">
      <c r="A889" s="580"/>
      <c r="B889" s="199" t="s">
        <v>938</v>
      </c>
      <c r="C889" s="344"/>
      <c r="D889" s="344"/>
      <c r="E889" s="344"/>
      <c r="F889" s="348"/>
      <c r="G889" s="202"/>
      <c r="H889" s="202"/>
      <c r="I889" s="202"/>
      <c r="J889" s="567"/>
      <c r="K889" s="207">
        <v>0</v>
      </c>
      <c r="L889" s="207">
        <v>0</v>
      </c>
      <c r="M889" s="207">
        <v>0</v>
      </c>
      <c r="N889" s="207">
        <v>275000</v>
      </c>
    </row>
    <row r="890" spans="1:14" ht="18.75" thickBot="1" x14ac:dyDescent="0.3">
      <c r="A890" s="539" t="s">
        <v>298</v>
      </c>
      <c r="B890" s="559"/>
      <c r="C890" s="188"/>
      <c r="D890" s="188"/>
      <c r="E890" s="188"/>
      <c r="F890" s="191" t="e">
        <f>SUM(F873+F874+#REF!+#REF!+#REF!)</f>
        <v>#REF!</v>
      </c>
      <c r="G890" s="195" t="e">
        <f>SUM(G888+#REF!)</f>
        <v>#REF!</v>
      </c>
      <c r="H890" s="195">
        <v>839116</v>
      </c>
      <c r="I890" s="195" t="e">
        <f>SUM(I888+#REF!)</f>
        <v>#REF!</v>
      </c>
      <c r="J890" s="195" t="e">
        <f>SUM(J888+#REF!)</f>
        <v>#REF!</v>
      </c>
      <c r="K890" s="581">
        <f>K888+K889</f>
        <v>1200550</v>
      </c>
      <c r="L890" s="581">
        <f>L888+L889</f>
        <v>12170</v>
      </c>
      <c r="M890" s="581">
        <f>M888+M889</f>
        <v>288000</v>
      </c>
      <c r="N890" s="581">
        <f>N888+N889</f>
        <v>5275000</v>
      </c>
    </row>
    <row r="891" spans="1:14" x14ac:dyDescent="0.25">
      <c r="A891" s="190"/>
      <c r="B891" s="1"/>
      <c r="C891" s="188"/>
      <c r="D891" s="188"/>
      <c r="E891" s="188"/>
      <c r="F891" s="191"/>
      <c r="G891" s="195"/>
      <c r="H891" s="195"/>
      <c r="I891" s="195"/>
      <c r="J891" s="194"/>
    </row>
    <row r="892" spans="1:14" ht="18.75" thickBot="1" x14ac:dyDescent="0.3">
      <c r="A892" s="190"/>
      <c r="B892" s="1"/>
      <c r="C892" s="188"/>
      <c r="D892" s="188"/>
      <c r="E892" s="188"/>
      <c r="F892" s="191"/>
      <c r="G892" s="193"/>
      <c r="H892" s="193"/>
      <c r="I892" s="193"/>
      <c r="J892" s="193"/>
      <c r="K892" s="195"/>
    </row>
    <row r="893" spans="1:14" ht="18.75" thickTop="1" x14ac:dyDescent="0.25">
      <c r="A893" s="190"/>
      <c r="B893" s="1"/>
      <c r="C893" s="188"/>
      <c r="D893" s="188"/>
      <c r="E893" s="188"/>
      <c r="F893" s="191"/>
      <c r="G893" s="192"/>
      <c r="H893" s="192"/>
      <c r="I893" s="192"/>
      <c r="J893" s="184"/>
      <c r="K893" s="200"/>
    </row>
    <row r="894" spans="1:14" x14ac:dyDescent="0.25">
      <c r="A894" s="190"/>
      <c r="B894" s="1"/>
      <c r="C894" s="188"/>
      <c r="D894" s="188"/>
      <c r="E894" s="188"/>
      <c r="F894" s="191"/>
      <c r="G894" s="191"/>
      <c r="H894" s="191"/>
      <c r="I894" s="191"/>
      <c r="J894" s="183"/>
    </row>
    <row r="895" spans="1:14" ht="15" x14ac:dyDescent="0.2">
      <c r="K895" s="182"/>
      <c r="M895" s="182"/>
      <c r="N895" s="182"/>
    </row>
    <row r="896" spans="1:14" ht="15" x14ac:dyDescent="0.2">
      <c r="K896" s="182"/>
      <c r="M896" s="182"/>
      <c r="N896" s="182"/>
    </row>
    <row r="897" spans="11:14" ht="15" x14ac:dyDescent="0.2">
      <c r="K897" s="182"/>
      <c r="M897" s="182"/>
      <c r="N897" s="182"/>
    </row>
    <row r="898" spans="11:14" ht="15" x14ac:dyDescent="0.2">
      <c r="K898" s="182"/>
      <c r="M898" s="182"/>
      <c r="N898" s="182"/>
    </row>
    <row r="899" spans="11:14" ht="15" x14ac:dyDescent="0.2">
      <c r="K899" s="182"/>
      <c r="M899" s="182"/>
      <c r="N899" s="182"/>
    </row>
    <row r="900" spans="11:14" ht="15" x14ac:dyDescent="0.2">
      <c r="K900" s="182"/>
      <c r="M900" s="182"/>
      <c r="N900" s="182"/>
    </row>
    <row r="901" spans="11:14" ht="15" x14ac:dyDescent="0.2">
      <c r="K901" s="182"/>
      <c r="M901" s="182"/>
      <c r="N901" s="182"/>
    </row>
    <row r="902" spans="11:14" ht="15" x14ac:dyDescent="0.2">
      <c r="K902" s="182"/>
      <c r="M902" s="182"/>
      <c r="N902" s="182"/>
    </row>
    <row r="903" spans="11:14" ht="15" x14ac:dyDescent="0.2">
      <c r="K903" s="182"/>
      <c r="M903" s="182"/>
      <c r="N903" s="182"/>
    </row>
    <row r="904" spans="11:14" ht="15" x14ac:dyDescent="0.2">
      <c r="K904" s="182"/>
      <c r="M904" s="182"/>
      <c r="N904" s="182"/>
    </row>
    <row r="905" spans="11:14" ht="15" x14ac:dyDescent="0.2">
      <c r="K905" s="182"/>
      <c r="M905" s="182"/>
      <c r="N905" s="182"/>
    </row>
    <row r="906" spans="11:14" ht="17.45" customHeight="1" x14ac:dyDescent="0.2">
      <c r="K906" s="182"/>
      <c r="M906" s="182"/>
      <c r="N906" s="182"/>
    </row>
    <row r="907" spans="11:14" ht="17.45" customHeight="1" x14ac:dyDescent="0.2">
      <c r="K907" s="182"/>
      <c r="M907" s="182"/>
      <c r="N907" s="182"/>
    </row>
    <row r="908" spans="11:14" ht="17.45" customHeight="1" x14ac:dyDescent="0.2">
      <c r="K908" s="182"/>
      <c r="M908" s="182"/>
      <c r="N908" s="182"/>
    </row>
    <row r="909" spans="11:14" ht="17.45" customHeight="1" x14ac:dyDescent="0.2">
      <c r="K909" s="182"/>
      <c r="M909" s="182"/>
      <c r="N909" s="182"/>
    </row>
    <row r="910" spans="11:14" ht="17.45" customHeight="1" x14ac:dyDescent="0.2">
      <c r="K910" s="182"/>
      <c r="M910" s="182"/>
      <c r="N910" s="182"/>
    </row>
    <row r="911" spans="11:14" ht="17.45" customHeight="1" x14ac:dyDescent="0.2">
      <c r="K911" s="182"/>
      <c r="M911" s="182"/>
      <c r="N911" s="182"/>
    </row>
    <row r="912" spans="11:14" ht="17.45" customHeight="1" x14ac:dyDescent="0.2">
      <c r="K912" s="182"/>
      <c r="M912" s="182"/>
      <c r="N912" s="182"/>
    </row>
    <row r="913" spans="3:14" ht="17.45" customHeight="1" x14ac:dyDescent="0.2">
      <c r="K913" s="182"/>
      <c r="M913" s="182"/>
      <c r="N913" s="182"/>
    </row>
    <row r="914" spans="3:14" ht="17.45" customHeight="1" x14ac:dyDescent="0.2">
      <c r="K914" s="182"/>
      <c r="M914" s="182"/>
      <c r="N914" s="182"/>
    </row>
    <row r="915" spans="3:14" ht="17.45" customHeight="1" x14ac:dyDescent="0.2">
      <c r="K915" s="182"/>
      <c r="M915" s="182"/>
      <c r="N915" s="182"/>
    </row>
    <row r="916" spans="3:14" ht="17.45" customHeight="1" x14ac:dyDescent="0.2">
      <c r="K916" s="182"/>
      <c r="M916" s="182"/>
      <c r="N916" s="182"/>
    </row>
    <row r="917" spans="3:14" ht="17.45" customHeight="1" x14ac:dyDescent="0.2">
      <c r="K917" s="182"/>
      <c r="M917" s="182"/>
      <c r="N917" s="182"/>
    </row>
    <row r="918" spans="3:14" ht="17.45" customHeight="1" x14ac:dyDescent="0.2">
      <c r="K918" s="182"/>
      <c r="M918" s="182"/>
      <c r="N918" s="182"/>
    </row>
    <row r="919" spans="3:14" ht="17.45" customHeight="1" x14ac:dyDescent="0.25">
      <c r="C919" s="183"/>
      <c r="D919" s="183"/>
      <c r="E919" s="183"/>
      <c r="F919" s="183"/>
      <c r="G919" s="44"/>
      <c r="H919" s="44"/>
      <c r="I919" s="44"/>
      <c r="J919" s="44"/>
    </row>
    <row r="920" spans="3:14" ht="17.45" customHeight="1" x14ac:dyDescent="0.25">
      <c r="C920" s="183"/>
      <c r="D920" s="183"/>
      <c r="E920" s="183"/>
      <c r="F920" s="183"/>
      <c r="G920" s="44"/>
      <c r="H920" s="44"/>
      <c r="I920" s="44"/>
      <c r="J920" s="44"/>
    </row>
    <row r="921" spans="3:14" ht="17.45" customHeight="1" x14ac:dyDescent="0.25">
      <c r="C921" s="183"/>
      <c r="D921" s="183"/>
      <c r="E921" s="183"/>
      <c r="F921" s="183"/>
      <c r="G921" s="183"/>
      <c r="H921" s="183"/>
      <c r="I921" s="183"/>
      <c r="J921" s="183"/>
    </row>
    <row r="922" spans="3:14" ht="17.45" customHeight="1" x14ac:dyDescent="0.25">
      <c r="C922" s="183"/>
      <c r="D922" s="183"/>
      <c r="E922" s="183"/>
      <c r="F922" s="183"/>
      <c r="G922" s="183"/>
      <c r="H922" s="183"/>
      <c r="I922" s="183"/>
      <c r="J922" s="183"/>
    </row>
    <row r="923" spans="3:14" ht="17.45" customHeight="1" x14ac:dyDescent="0.25">
      <c r="C923" s="183"/>
      <c r="D923" s="183"/>
      <c r="E923" s="183"/>
      <c r="F923" s="183"/>
      <c r="G923" s="183"/>
      <c r="H923" s="183"/>
      <c r="I923" s="183"/>
      <c r="J923" s="183"/>
    </row>
    <row r="924" spans="3:14" ht="17.45" customHeight="1" x14ac:dyDescent="0.25">
      <c r="C924" s="183"/>
      <c r="D924" s="183"/>
      <c r="E924" s="183"/>
      <c r="F924" s="183"/>
      <c r="G924" s="183"/>
      <c r="H924" s="183"/>
      <c r="I924" s="183"/>
      <c r="J924" s="183"/>
    </row>
    <row r="925" spans="3:14" ht="17.45" customHeight="1" x14ac:dyDescent="0.25">
      <c r="C925" s="183"/>
      <c r="D925" s="183"/>
      <c r="E925" s="183"/>
      <c r="F925" s="183"/>
      <c r="G925" s="183"/>
      <c r="H925" s="183"/>
      <c r="I925" s="183"/>
      <c r="J925" s="183"/>
    </row>
    <row r="926" spans="3:14" ht="17.45" customHeight="1" x14ac:dyDescent="0.25">
      <c r="C926" s="183"/>
      <c r="D926" s="183"/>
      <c r="E926" s="183"/>
      <c r="F926" s="183"/>
      <c r="G926" s="183"/>
      <c r="H926" s="183"/>
      <c r="I926" s="183"/>
      <c r="J926" s="183"/>
    </row>
    <row r="927" spans="3:14" ht="17.45" customHeight="1" x14ac:dyDescent="0.25">
      <c r="C927" s="183"/>
      <c r="D927" s="183"/>
      <c r="E927" s="183"/>
      <c r="F927" s="183"/>
      <c r="G927" s="183"/>
      <c r="H927" s="183"/>
      <c r="I927" s="183"/>
      <c r="J927" s="183"/>
    </row>
    <row r="928" spans="3:14" ht="17.45" customHeight="1" x14ac:dyDescent="0.25">
      <c r="C928" s="183"/>
      <c r="D928" s="183"/>
      <c r="E928" s="183"/>
      <c r="F928" s="183"/>
      <c r="G928" s="183"/>
      <c r="H928" s="183"/>
      <c r="I928" s="183"/>
      <c r="J928" s="183"/>
    </row>
    <row r="929" spans="3:10" ht="17.45" customHeight="1" x14ac:dyDescent="0.25">
      <c r="C929" s="183"/>
      <c r="D929" s="183"/>
      <c r="E929" s="183"/>
      <c r="F929" s="183"/>
      <c r="G929" s="183"/>
      <c r="H929" s="183"/>
      <c r="I929" s="183"/>
      <c r="J929" s="183"/>
    </row>
    <row r="930" spans="3:10" ht="17.45" customHeight="1" x14ac:dyDescent="0.25">
      <c r="C930" s="183"/>
      <c r="D930" s="183"/>
      <c r="E930" s="183"/>
      <c r="F930" s="183"/>
      <c r="G930" s="183"/>
      <c r="H930" s="183"/>
      <c r="I930" s="183"/>
      <c r="J930" s="183"/>
    </row>
    <row r="931" spans="3:10" ht="17.45" customHeight="1" x14ac:dyDescent="0.25">
      <c r="C931" s="183"/>
      <c r="D931" s="183"/>
      <c r="E931" s="183"/>
      <c r="F931" s="183"/>
      <c r="G931" s="183"/>
      <c r="H931" s="183"/>
      <c r="I931" s="183"/>
      <c r="J931" s="183"/>
    </row>
    <row r="932" spans="3:10" ht="17.45" customHeight="1" x14ac:dyDescent="0.25">
      <c r="C932" s="183"/>
      <c r="D932" s="183"/>
      <c r="E932" s="183"/>
      <c r="F932" s="183"/>
      <c r="G932" s="183"/>
      <c r="H932" s="183"/>
      <c r="I932" s="183"/>
      <c r="J932" s="183"/>
    </row>
    <row r="933" spans="3:10" ht="17.45" customHeight="1" x14ac:dyDescent="0.25">
      <c r="C933" s="183"/>
      <c r="D933" s="183"/>
      <c r="E933" s="183"/>
      <c r="F933" s="183"/>
      <c r="G933" s="183"/>
      <c r="H933" s="183"/>
      <c r="I933" s="183"/>
      <c r="J933" s="183"/>
    </row>
    <row r="934" spans="3:10" ht="17.45" customHeight="1" x14ac:dyDescent="0.25">
      <c r="C934" s="183"/>
      <c r="D934" s="183"/>
      <c r="E934" s="183"/>
      <c r="F934" s="183"/>
      <c r="G934" s="183"/>
      <c r="H934" s="183"/>
      <c r="I934" s="183"/>
      <c r="J934" s="183"/>
    </row>
    <row r="935" spans="3:10" ht="17.45" customHeight="1" x14ac:dyDescent="0.25">
      <c r="C935" s="183"/>
      <c r="D935" s="183"/>
      <c r="E935" s="183"/>
      <c r="F935" s="183"/>
      <c r="G935" s="183"/>
      <c r="H935" s="183"/>
      <c r="I935" s="183"/>
      <c r="J935" s="183"/>
    </row>
    <row r="936" spans="3:10" ht="17.45" customHeight="1" x14ac:dyDescent="0.25">
      <c r="C936" s="183"/>
      <c r="D936" s="183"/>
      <c r="E936" s="183"/>
      <c r="F936" s="183"/>
      <c r="G936" s="183"/>
      <c r="H936" s="183"/>
      <c r="I936" s="183"/>
      <c r="J936" s="183"/>
    </row>
    <row r="937" spans="3:10" ht="23.25" customHeight="1" x14ac:dyDescent="0.25">
      <c r="C937" s="183"/>
      <c r="D937" s="183"/>
      <c r="E937" s="183"/>
      <c r="F937" s="183"/>
      <c r="G937" s="183"/>
      <c r="H937" s="183"/>
      <c r="I937" s="183"/>
      <c r="J937" s="183"/>
    </row>
    <row r="938" spans="3:10" x14ac:dyDescent="0.25">
      <c r="C938" s="183"/>
      <c r="D938" s="183"/>
      <c r="E938" s="183"/>
      <c r="F938" s="183"/>
      <c r="G938" s="183"/>
      <c r="H938" s="183"/>
      <c r="I938" s="183"/>
      <c r="J938" s="183"/>
    </row>
    <row r="939" spans="3:10" x14ac:dyDescent="0.25">
      <c r="C939" s="183"/>
      <c r="D939" s="183"/>
      <c r="E939" s="183"/>
      <c r="F939" s="183"/>
      <c r="G939" s="183"/>
      <c r="H939" s="183"/>
      <c r="I939" s="183"/>
      <c r="J939" s="183"/>
    </row>
    <row r="940" spans="3:10" x14ac:dyDescent="0.25">
      <c r="C940" s="183"/>
      <c r="D940" s="183"/>
      <c r="E940" s="183"/>
      <c r="F940" s="183"/>
      <c r="G940" s="183"/>
      <c r="H940" s="183"/>
      <c r="I940" s="183"/>
      <c r="J940" s="183"/>
    </row>
    <row r="941" spans="3:10" x14ac:dyDescent="0.25">
      <c r="C941" s="183"/>
      <c r="D941" s="183"/>
      <c r="E941" s="183"/>
      <c r="F941" s="183"/>
      <c r="G941" s="183"/>
      <c r="H941" s="183"/>
      <c r="I941" s="183"/>
      <c r="J941" s="183"/>
    </row>
    <row r="942" spans="3:10" x14ac:dyDescent="0.25">
      <c r="C942" s="183"/>
      <c r="D942" s="183"/>
      <c r="E942" s="183"/>
      <c r="F942" s="183"/>
      <c r="G942" s="183"/>
      <c r="H942" s="183"/>
      <c r="I942" s="183"/>
      <c r="J942" s="183"/>
    </row>
    <row r="943" spans="3:10" x14ac:dyDescent="0.25">
      <c r="C943" s="183"/>
      <c r="D943" s="183"/>
      <c r="E943" s="183"/>
      <c r="F943" s="183"/>
      <c r="G943" s="183"/>
      <c r="H943" s="183"/>
      <c r="I943" s="183"/>
      <c r="J943" s="183"/>
    </row>
    <row r="944" spans="3:10" ht="18" customHeight="1" x14ac:dyDescent="0.25">
      <c r="C944" s="183"/>
      <c r="D944" s="183"/>
      <c r="E944" s="183"/>
      <c r="F944" s="183"/>
      <c r="G944" s="183"/>
      <c r="H944" s="183"/>
      <c r="I944" s="183"/>
      <c r="J944" s="183"/>
    </row>
    <row r="945" spans="3:10" x14ac:dyDescent="0.25">
      <c r="C945" s="183"/>
      <c r="D945" s="183"/>
      <c r="E945" s="183"/>
      <c r="F945" s="183"/>
      <c r="G945" s="183"/>
      <c r="H945" s="183"/>
      <c r="I945" s="183"/>
      <c r="J945" s="183"/>
    </row>
    <row r="946" spans="3:10" x14ac:dyDescent="0.25">
      <c r="C946" s="183"/>
      <c r="D946" s="183"/>
      <c r="E946" s="183"/>
      <c r="F946" s="183"/>
      <c r="G946" s="183"/>
      <c r="H946" s="183"/>
      <c r="I946" s="183"/>
      <c r="J946" s="183"/>
    </row>
    <row r="947" spans="3:10" x14ac:dyDescent="0.25">
      <c r="C947" s="183"/>
      <c r="D947" s="183"/>
      <c r="E947" s="183"/>
      <c r="F947" s="183"/>
      <c r="G947" s="183"/>
      <c r="H947" s="183"/>
      <c r="I947" s="183"/>
      <c r="J947" s="183"/>
    </row>
    <row r="948" spans="3:10" x14ac:dyDescent="0.25">
      <c r="C948" s="183"/>
      <c r="D948" s="183"/>
      <c r="E948" s="183"/>
      <c r="F948" s="183"/>
      <c r="G948" s="183"/>
      <c r="H948" s="183"/>
      <c r="I948" s="183"/>
      <c r="J948" s="183"/>
    </row>
    <row r="949" spans="3:10" x14ac:dyDescent="0.25">
      <c r="C949" s="183"/>
      <c r="D949" s="183"/>
      <c r="E949" s="183"/>
      <c r="F949" s="183"/>
      <c r="G949" s="183"/>
      <c r="H949" s="183"/>
      <c r="I949" s="183"/>
      <c r="J949" s="183"/>
    </row>
    <row r="950" spans="3:10" x14ac:dyDescent="0.25">
      <c r="C950" s="183"/>
      <c r="D950" s="183"/>
      <c r="E950" s="183"/>
      <c r="F950" s="183"/>
      <c r="G950" s="183"/>
      <c r="H950" s="183"/>
      <c r="I950" s="183"/>
      <c r="J950" s="183"/>
    </row>
    <row r="951" spans="3:10" x14ac:dyDescent="0.25">
      <c r="C951" s="183"/>
      <c r="D951" s="183"/>
      <c r="E951" s="183"/>
      <c r="F951" s="183"/>
      <c r="G951" s="183"/>
      <c r="H951" s="183"/>
      <c r="I951" s="183"/>
      <c r="J951" s="183"/>
    </row>
    <row r="952" spans="3:10" x14ac:dyDescent="0.25">
      <c r="C952" s="183"/>
      <c r="D952" s="183"/>
      <c r="E952" s="183"/>
      <c r="F952" s="183"/>
      <c r="G952" s="183"/>
      <c r="H952" s="183"/>
      <c r="I952" s="183"/>
      <c r="J952" s="183"/>
    </row>
    <row r="953" spans="3:10" x14ac:dyDescent="0.25">
      <c r="C953" s="183"/>
      <c r="D953" s="183"/>
      <c r="E953" s="183"/>
      <c r="F953" s="183"/>
      <c r="G953" s="183"/>
      <c r="H953" s="183"/>
      <c r="I953" s="183"/>
      <c r="J953" s="183"/>
    </row>
    <row r="954" spans="3:10" x14ac:dyDescent="0.25">
      <c r="C954" s="183"/>
      <c r="D954" s="183"/>
      <c r="E954" s="183"/>
      <c r="F954" s="183"/>
      <c r="G954" s="183"/>
      <c r="H954" s="183"/>
      <c r="I954" s="183"/>
      <c r="J954" s="183"/>
    </row>
    <row r="955" spans="3:10" x14ac:dyDescent="0.25">
      <c r="C955" s="183"/>
      <c r="D955" s="183"/>
      <c r="E955" s="183"/>
      <c r="F955" s="183"/>
      <c r="G955" s="183"/>
      <c r="H955" s="183"/>
      <c r="I955" s="183"/>
      <c r="J955" s="183"/>
    </row>
    <row r="956" spans="3:10" x14ac:dyDescent="0.25">
      <c r="C956" s="183"/>
      <c r="D956" s="183"/>
      <c r="E956" s="183"/>
      <c r="F956" s="183"/>
      <c r="G956" s="183"/>
      <c r="H956" s="183"/>
      <c r="I956" s="183"/>
      <c r="J956" s="183"/>
    </row>
    <row r="957" spans="3:10" x14ac:dyDescent="0.25">
      <c r="C957" s="183"/>
      <c r="D957" s="183"/>
      <c r="E957" s="183"/>
      <c r="F957" s="183"/>
      <c r="G957" s="183"/>
      <c r="H957" s="183"/>
      <c r="I957" s="183"/>
      <c r="J957" s="183"/>
    </row>
    <row r="958" spans="3:10" x14ac:dyDescent="0.25">
      <c r="C958" s="183"/>
      <c r="D958" s="183"/>
      <c r="E958" s="183"/>
      <c r="F958" s="183"/>
      <c r="G958" s="183"/>
      <c r="H958" s="183"/>
      <c r="I958" s="183"/>
      <c r="J958" s="183"/>
    </row>
    <row r="959" spans="3:10" x14ac:dyDescent="0.25">
      <c r="C959" s="183"/>
      <c r="D959" s="183"/>
      <c r="E959" s="183"/>
      <c r="F959" s="183"/>
      <c r="G959" s="183"/>
      <c r="H959" s="183"/>
      <c r="I959" s="183"/>
      <c r="J959" s="183"/>
    </row>
    <row r="960" spans="3:10" x14ac:dyDescent="0.25">
      <c r="C960" s="183"/>
      <c r="D960" s="183"/>
      <c r="E960" s="183"/>
      <c r="F960" s="183"/>
      <c r="G960" s="183"/>
      <c r="H960" s="183"/>
      <c r="I960" s="183"/>
      <c r="J960" s="183"/>
    </row>
    <row r="961" spans="3:10" x14ac:dyDescent="0.25">
      <c r="C961" s="183"/>
      <c r="D961" s="183"/>
      <c r="E961" s="183"/>
      <c r="F961" s="183"/>
      <c r="G961" s="183"/>
      <c r="H961" s="183"/>
      <c r="I961" s="183"/>
      <c r="J961" s="183"/>
    </row>
    <row r="962" spans="3:10" x14ac:dyDescent="0.25">
      <c r="C962" s="183"/>
      <c r="D962" s="183"/>
      <c r="E962" s="183"/>
      <c r="F962" s="183"/>
      <c r="G962" s="183"/>
      <c r="H962" s="183"/>
      <c r="I962" s="183"/>
      <c r="J962" s="183"/>
    </row>
    <row r="963" spans="3:10" x14ac:dyDescent="0.25">
      <c r="C963" s="183"/>
      <c r="D963" s="183"/>
      <c r="E963" s="183"/>
      <c r="F963" s="183"/>
      <c r="G963" s="183"/>
      <c r="H963" s="183"/>
      <c r="I963" s="183"/>
      <c r="J963" s="183"/>
    </row>
    <row r="964" spans="3:10" x14ac:dyDescent="0.25">
      <c r="C964" s="183"/>
      <c r="D964" s="183"/>
      <c r="E964" s="183"/>
      <c r="F964" s="183"/>
      <c r="G964" s="183"/>
      <c r="H964" s="183"/>
      <c r="I964" s="183"/>
      <c r="J964" s="183"/>
    </row>
    <row r="965" spans="3:10" x14ac:dyDescent="0.25">
      <c r="C965" s="183"/>
      <c r="D965" s="183"/>
      <c r="E965" s="183"/>
      <c r="F965" s="183"/>
      <c r="G965" s="183"/>
      <c r="H965" s="183"/>
      <c r="I965" s="183"/>
      <c r="J965" s="183"/>
    </row>
    <row r="966" spans="3:10" x14ac:dyDescent="0.25">
      <c r="C966" s="183"/>
      <c r="D966" s="183"/>
      <c r="E966" s="183"/>
      <c r="F966" s="183"/>
      <c r="G966" s="183"/>
      <c r="H966" s="183"/>
      <c r="I966" s="183"/>
      <c r="J966" s="183"/>
    </row>
    <row r="967" spans="3:10" x14ac:dyDescent="0.25">
      <c r="C967" s="183"/>
      <c r="D967" s="183"/>
      <c r="E967" s="183"/>
      <c r="F967" s="183"/>
      <c r="G967" s="183"/>
      <c r="H967" s="183"/>
      <c r="I967" s="183"/>
      <c r="J967" s="183"/>
    </row>
    <row r="968" spans="3:10" x14ac:dyDescent="0.25">
      <c r="C968" s="183"/>
      <c r="D968" s="183"/>
      <c r="E968" s="183"/>
      <c r="F968" s="183"/>
      <c r="G968" s="183"/>
      <c r="H968" s="183"/>
      <c r="I968" s="183"/>
      <c r="J968" s="183"/>
    </row>
    <row r="969" spans="3:10" x14ac:dyDescent="0.25">
      <c r="C969" s="183"/>
      <c r="D969" s="183"/>
      <c r="E969" s="183"/>
      <c r="F969" s="183"/>
      <c r="G969" s="183"/>
      <c r="H969" s="183"/>
      <c r="I969" s="183"/>
      <c r="J969" s="183"/>
    </row>
    <row r="970" spans="3:10" x14ac:dyDescent="0.25">
      <c r="C970" s="183"/>
      <c r="D970" s="183"/>
      <c r="E970" s="183"/>
      <c r="F970" s="183"/>
      <c r="G970" s="183"/>
      <c r="H970" s="183"/>
      <c r="I970" s="183"/>
      <c r="J970" s="183"/>
    </row>
    <row r="971" spans="3:10" x14ac:dyDescent="0.25">
      <c r="C971" s="183"/>
      <c r="D971" s="183"/>
      <c r="E971" s="183"/>
      <c r="F971" s="183"/>
      <c r="G971" s="183"/>
      <c r="H971" s="183"/>
      <c r="I971" s="183"/>
      <c r="J971" s="183"/>
    </row>
    <row r="972" spans="3:10" x14ac:dyDescent="0.25">
      <c r="C972" s="183"/>
      <c r="D972" s="183"/>
      <c r="E972" s="183"/>
      <c r="F972" s="183"/>
      <c r="G972" s="183"/>
      <c r="H972" s="183"/>
      <c r="I972" s="183"/>
      <c r="J972" s="183"/>
    </row>
    <row r="973" spans="3:10" x14ac:dyDescent="0.25">
      <c r="C973" s="183"/>
      <c r="D973" s="183"/>
      <c r="E973" s="183"/>
      <c r="F973" s="183"/>
      <c r="G973" s="183"/>
      <c r="H973" s="183"/>
      <c r="I973" s="183"/>
      <c r="J973" s="183"/>
    </row>
    <row r="974" spans="3:10" x14ac:dyDescent="0.25">
      <c r="C974" s="183"/>
      <c r="D974" s="183"/>
      <c r="E974" s="183"/>
      <c r="F974" s="183"/>
      <c r="G974" s="183"/>
      <c r="H974" s="183"/>
      <c r="I974" s="183"/>
      <c r="J974" s="183"/>
    </row>
    <row r="975" spans="3:10" x14ac:dyDescent="0.25">
      <c r="C975" s="183"/>
      <c r="D975" s="183"/>
      <c r="E975" s="183"/>
      <c r="F975" s="183"/>
      <c r="G975" s="183"/>
      <c r="H975" s="183"/>
      <c r="I975" s="183"/>
      <c r="J975" s="183"/>
    </row>
    <row r="976" spans="3:10" x14ac:dyDescent="0.25">
      <c r="C976" s="183"/>
      <c r="D976" s="183"/>
      <c r="E976" s="183"/>
      <c r="F976" s="183"/>
      <c r="G976" s="183"/>
      <c r="H976" s="183"/>
      <c r="I976" s="183"/>
      <c r="J976" s="183"/>
    </row>
    <row r="977" spans="3:10" x14ac:dyDescent="0.25">
      <c r="C977" s="183"/>
      <c r="D977" s="183"/>
      <c r="E977" s="183"/>
      <c r="F977" s="183"/>
      <c r="G977" s="183"/>
      <c r="H977" s="183"/>
      <c r="I977" s="183"/>
      <c r="J977" s="183"/>
    </row>
    <row r="978" spans="3:10" x14ac:dyDescent="0.25">
      <c r="C978" s="183"/>
      <c r="D978" s="183"/>
      <c r="E978" s="183"/>
      <c r="F978" s="183"/>
      <c r="G978" s="183"/>
      <c r="H978" s="183"/>
      <c r="I978" s="183"/>
      <c r="J978" s="183"/>
    </row>
    <row r="979" spans="3:10" x14ac:dyDescent="0.25">
      <c r="C979" s="183"/>
      <c r="D979" s="183"/>
      <c r="E979" s="183"/>
      <c r="F979" s="183"/>
      <c r="G979" s="183"/>
      <c r="H979" s="183"/>
      <c r="I979" s="183"/>
      <c r="J979" s="183"/>
    </row>
    <row r="980" spans="3:10" x14ac:dyDescent="0.25">
      <c r="C980" s="183"/>
      <c r="D980" s="183"/>
      <c r="E980" s="183"/>
      <c r="F980" s="183"/>
      <c r="G980" s="183"/>
      <c r="H980" s="183"/>
      <c r="I980" s="183"/>
      <c r="J980" s="183"/>
    </row>
    <row r="981" spans="3:10" x14ac:dyDescent="0.25">
      <c r="C981" s="183"/>
      <c r="D981" s="183"/>
      <c r="E981" s="183"/>
      <c r="F981" s="183"/>
      <c r="G981" s="183"/>
      <c r="H981" s="183"/>
      <c r="I981" s="183"/>
      <c r="J981" s="183"/>
    </row>
    <row r="982" spans="3:10" x14ac:dyDescent="0.25">
      <c r="C982" s="183"/>
      <c r="D982" s="183"/>
      <c r="E982" s="183"/>
      <c r="F982" s="183"/>
      <c r="G982" s="183"/>
      <c r="H982" s="183"/>
      <c r="I982" s="183"/>
      <c r="J982" s="183"/>
    </row>
    <row r="983" spans="3:10" x14ac:dyDescent="0.25">
      <c r="C983" s="183"/>
      <c r="D983" s="183"/>
      <c r="E983" s="183"/>
      <c r="F983" s="183"/>
      <c r="G983" s="183"/>
      <c r="H983" s="183"/>
      <c r="I983" s="183"/>
      <c r="J983" s="183"/>
    </row>
    <row r="984" spans="3:10" x14ac:dyDescent="0.25">
      <c r="C984" s="183"/>
      <c r="D984" s="183"/>
      <c r="E984" s="183"/>
      <c r="F984" s="183"/>
      <c r="G984" s="183"/>
      <c r="H984" s="183"/>
      <c r="I984" s="183"/>
      <c r="J984" s="183"/>
    </row>
    <row r="985" spans="3:10" x14ac:dyDescent="0.25">
      <c r="C985" s="183"/>
      <c r="D985" s="183"/>
      <c r="E985" s="183"/>
      <c r="F985" s="183"/>
      <c r="G985" s="183"/>
      <c r="H985" s="183"/>
      <c r="I985" s="183"/>
      <c r="J985" s="183"/>
    </row>
    <row r="986" spans="3:10" x14ac:dyDescent="0.25">
      <c r="C986" s="183"/>
      <c r="D986" s="183"/>
      <c r="E986" s="183"/>
      <c r="F986" s="183"/>
      <c r="G986" s="183"/>
      <c r="H986" s="183"/>
      <c r="I986" s="183"/>
      <c r="J986" s="183"/>
    </row>
    <row r="987" spans="3:10" x14ac:dyDescent="0.25">
      <c r="C987" s="183"/>
      <c r="D987" s="183"/>
      <c r="E987" s="183"/>
      <c r="F987" s="183"/>
      <c r="G987" s="183"/>
      <c r="H987" s="183"/>
      <c r="I987" s="183"/>
      <c r="J987" s="183"/>
    </row>
    <row r="988" spans="3:10" x14ac:dyDescent="0.25">
      <c r="C988" s="183"/>
      <c r="D988" s="183"/>
      <c r="E988" s="183"/>
      <c r="F988" s="183"/>
      <c r="G988" s="183"/>
      <c r="H988" s="183"/>
      <c r="I988" s="183"/>
      <c r="J988" s="183"/>
    </row>
    <row r="989" spans="3:10" x14ac:dyDescent="0.25">
      <c r="C989" s="183"/>
      <c r="D989" s="183"/>
      <c r="E989" s="183"/>
      <c r="F989" s="183"/>
      <c r="G989" s="183"/>
      <c r="H989" s="183"/>
      <c r="I989" s="183"/>
      <c r="J989" s="183"/>
    </row>
    <row r="990" spans="3:10" x14ac:dyDescent="0.25">
      <c r="C990" s="183"/>
      <c r="D990" s="183"/>
      <c r="E990" s="183"/>
      <c r="F990" s="183"/>
      <c r="G990" s="183"/>
      <c r="H990" s="183"/>
      <c r="I990" s="183"/>
      <c r="J990" s="183"/>
    </row>
    <row r="991" spans="3:10" x14ac:dyDescent="0.25">
      <c r="C991" s="183"/>
      <c r="D991" s="183"/>
      <c r="E991" s="183"/>
      <c r="F991" s="183"/>
      <c r="G991" s="183"/>
      <c r="H991" s="183"/>
      <c r="I991" s="183"/>
      <c r="J991" s="183"/>
    </row>
    <row r="992" spans="3:10" x14ac:dyDescent="0.25">
      <c r="C992" s="183"/>
      <c r="D992" s="183"/>
      <c r="E992" s="183"/>
      <c r="F992" s="183"/>
      <c r="G992" s="183"/>
      <c r="H992" s="183"/>
      <c r="I992" s="183"/>
      <c r="J992" s="183"/>
    </row>
    <row r="993" spans="3:10" x14ac:dyDescent="0.25">
      <c r="C993" s="183"/>
      <c r="D993" s="183"/>
      <c r="E993" s="183"/>
      <c r="F993" s="183"/>
      <c r="G993" s="183"/>
      <c r="H993" s="183"/>
      <c r="I993" s="183"/>
      <c r="J993" s="183"/>
    </row>
    <row r="994" spans="3:10" x14ac:dyDescent="0.25">
      <c r="C994" s="183"/>
      <c r="D994" s="183"/>
      <c r="E994" s="183"/>
      <c r="F994" s="183"/>
      <c r="G994" s="183"/>
      <c r="H994" s="183"/>
      <c r="I994" s="183"/>
      <c r="J994" s="183"/>
    </row>
    <row r="995" spans="3:10" x14ac:dyDescent="0.25">
      <c r="C995" s="183"/>
      <c r="D995" s="183"/>
      <c r="E995" s="183"/>
      <c r="F995" s="183"/>
      <c r="G995" s="183"/>
      <c r="H995" s="183"/>
      <c r="I995" s="183"/>
      <c r="J995" s="183"/>
    </row>
    <row r="996" spans="3:10" x14ac:dyDescent="0.25">
      <c r="C996" s="183"/>
      <c r="D996" s="183"/>
      <c r="E996" s="183"/>
      <c r="F996" s="183"/>
      <c r="G996" s="183"/>
      <c r="H996" s="183"/>
      <c r="I996" s="183"/>
      <c r="J996" s="183"/>
    </row>
    <row r="997" spans="3:10" x14ac:dyDescent="0.25">
      <c r="C997" s="183"/>
      <c r="D997" s="183"/>
      <c r="E997" s="183"/>
      <c r="F997" s="183"/>
      <c r="G997" s="183"/>
      <c r="H997" s="183"/>
      <c r="I997" s="183"/>
      <c r="J997" s="183"/>
    </row>
    <row r="998" spans="3:10" x14ac:dyDescent="0.25">
      <c r="C998" s="183"/>
      <c r="D998" s="183"/>
      <c r="E998" s="183"/>
      <c r="F998" s="183"/>
      <c r="G998" s="183"/>
      <c r="H998" s="183"/>
      <c r="I998" s="183"/>
      <c r="J998" s="183"/>
    </row>
    <row r="999" spans="3:10" x14ac:dyDescent="0.25">
      <c r="C999" s="183"/>
      <c r="D999" s="183"/>
      <c r="E999" s="183"/>
      <c r="F999" s="183"/>
      <c r="G999" s="183"/>
      <c r="H999" s="183"/>
      <c r="I999" s="183"/>
      <c r="J999" s="183"/>
    </row>
    <row r="1000" spans="3:10" x14ac:dyDescent="0.25">
      <c r="C1000" s="183"/>
      <c r="D1000" s="183"/>
      <c r="E1000" s="183"/>
      <c r="F1000" s="183"/>
      <c r="G1000" s="183"/>
      <c r="H1000" s="183"/>
      <c r="I1000" s="183"/>
      <c r="J1000" s="183"/>
    </row>
    <row r="1001" spans="3:10" x14ac:dyDescent="0.25">
      <c r="C1001" s="183"/>
      <c r="D1001" s="183"/>
      <c r="E1001" s="183"/>
      <c r="F1001" s="183"/>
      <c r="G1001" s="183"/>
      <c r="H1001" s="183"/>
      <c r="I1001" s="183"/>
      <c r="J1001" s="183"/>
    </row>
    <row r="1002" spans="3:10" x14ac:dyDescent="0.25">
      <c r="C1002" s="183"/>
      <c r="D1002" s="183"/>
      <c r="E1002" s="183"/>
      <c r="F1002" s="183"/>
      <c r="G1002" s="183"/>
      <c r="H1002" s="183"/>
      <c r="I1002" s="183"/>
      <c r="J1002" s="183"/>
    </row>
    <row r="1003" spans="3:10" x14ac:dyDescent="0.25">
      <c r="C1003" s="183"/>
      <c r="D1003" s="183"/>
      <c r="E1003" s="183"/>
      <c r="F1003" s="183"/>
      <c r="G1003" s="183"/>
      <c r="H1003" s="183"/>
      <c r="I1003" s="183"/>
      <c r="J1003" s="183"/>
    </row>
    <row r="1004" spans="3:10" x14ac:dyDescent="0.25">
      <c r="C1004" s="183"/>
      <c r="D1004" s="183"/>
      <c r="E1004" s="183"/>
      <c r="F1004" s="183"/>
      <c r="G1004" s="183"/>
      <c r="H1004" s="183"/>
      <c r="I1004" s="183"/>
      <c r="J1004" s="183"/>
    </row>
    <row r="1005" spans="3:10" x14ac:dyDescent="0.25">
      <c r="C1005" s="183"/>
      <c r="D1005" s="183"/>
      <c r="E1005" s="183"/>
      <c r="F1005" s="183"/>
      <c r="G1005" s="183"/>
      <c r="H1005" s="183"/>
      <c r="I1005" s="183"/>
      <c r="J1005" s="183"/>
    </row>
    <row r="1006" spans="3:10" x14ac:dyDescent="0.25">
      <c r="C1006" s="183"/>
      <c r="D1006" s="183"/>
      <c r="E1006" s="183"/>
      <c r="F1006" s="183"/>
      <c r="G1006" s="183"/>
      <c r="H1006" s="183"/>
      <c r="I1006" s="183"/>
      <c r="J1006" s="183"/>
    </row>
    <row r="1007" spans="3:10" x14ac:dyDescent="0.25">
      <c r="C1007" s="183"/>
      <c r="D1007" s="183"/>
      <c r="E1007" s="183"/>
      <c r="F1007" s="183"/>
      <c r="G1007" s="183"/>
      <c r="H1007" s="183"/>
      <c r="I1007" s="183"/>
      <c r="J1007" s="183"/>
    </row>
    <row r="1008" spans="3:10" x14ac:dyDescent="0.25">
      <c r="C1008" s="183"/>
      <c r="D1008" s="183"/>
      <c r="E1008" s="183"/>
      <c r="F1008" s="183"/>
      <c r="G1008" s="183"/>
      <c r="H1008" s="183"/>
      <c r="I1008" s="183"/>
      <c r="J1008" s="183"/>
    </row>
    <row r="1009" spans="3:10" x14ac:dyDescent="0.25">
      <c r="C1009" s="183"/>
      <c r="D1009" s="183"/>
      <c r="E1009" s="183"/>
      <c r="F1009" s="183"/>
      <c r="G1009" s="183"/>
      <c r="H1009" s="183"/>
      <c r="I1009" s="183"/>
      <c r="J1009" s="183"/>
    </row>
    <row r="1010" spans="3:10" x14ac:dyDescent="0.25">
      <c r="C1010" s="183"/>
      <c r="D1010" s="183"/>
      <c r="E1010" s="183"/>
      <c r="F1010" s="183"/>
      <c r="G1010" s="183"/>
      <c r="H1010" s="183"/>
      <c r="I1010" s="183"/>
      <c r="J1010" s="183"/>
    </row>
    <row r="1011" spans="3:10" x14ac:dyDescent="0.25">
      <c r="C1011" s="183"/>
      <c r="D1011" s="183"/>
      <c r="E1011" s="183"/>
      <c r="F1011" s="183"/>
      <c r="G1011" s="183"/>
      <c r="H1011" s="183"/>
      <c r="I1011" s="183"/>
      <c r="J1011" s="183"/>
    </row>
    <row r="1012" spans="3:10" x14ac:dyDescent="0.25">
      <c r="C1012" s="183"/>
      <c r="D1012" s="183"/>
      <c r="E1012" s="183"/>
      <c r="F1012" s="183"/>
      <c r="G1012" s="183"/>
      <c r="H1012" s="183"/>
      <c r="I1012" s="183"/>
      <c r="J1012" s="183"/>
    </row>
    <row r="1013" spans="3:10" x14ac:dyDescent="0.25">
      <c r="C1013" s="183"/>
      <c r="D1013" s="183"/>
      <c r="E1013" s="183"/>
      <c r="F1013" s="183"/>
      <c r="G1013" s="183"/>
      <c r="H1013" s="183"/>
      <c r="I1013" s="183"/>
      <c r="J1013" s="183"/>
    </row>
    <row r="1014" spans="3:10" x14ac:dyDescent="0.25">
      <c r="C1014" s="183"/>
      <c r="D1014" s="183"/>
      <c r="E1014" s="183"/>
      <c r="F1014" s="183"/>
      <c r="G1014" s="183"/>
      <c r="H1014" s="183"/>
      <c r="I1014" s="183"/>
      <c r="J1014" s="183"/>
    </row>
    <row r="1015" spans="3:10" x14ac:dyDescent="0.25">
      <c r="C1015" s="183"/>
      <c r="D1015" s="183"/>
      <c r="E1015" s="183"/>
      <c r="F1015" s="183"/>
      <c r="G1015" s="183"/>
      <c r="H1015" s="183"/>
      <c r="I1015" s="183"/>
      <c r="J1015" s="183"/>
    </row>
    <row r="1016" spans="3:10" x14ac:dyDescent="0.25">
      <c r="C1016" s="183"/>
      <c r="D1016" s="183"/>
      <c r="E1016" s="183"/>
      <c r="F1016" s="183"/>
      <c r="G1016" s="183"/>
      <c r="H1016" s="183"/>
      <c r="I1016" s="183"/>
      <c r="J1016" s="183"/>
    </row>
    <row r="1017" spans="3:10" x14ac:dyDescent="0.25">
      <c r="C1017" s="183"/>
      <c r="D1017" s="183"/>
      <c r="E1017" s="183"/>
      <c r="F1017" s="183"/>
      <c r="G1017" s="183"/>
      <c r="H1017" s="183"/>
      <c r="I1017" s="183"/>
      <c r="J1017" s="183"/>
    </row>
    <row r="1018" spans="3:10" x14ac:dyDescent="0.25">
      <c r="C1018" s="183"/>
      <c r="D1018" s="183"/>
      <c r="E1018" s="183"/>
      <c r="F1018" s="183"/>
      <c r="G1018" s="183"/>
      <c r="H1018" s="183"/>
      <c r="I1018" s="183"/>
      <c r="J1018" s="183"/>
    </row>
    <row r="1019" spans="3:10" x14ac:dyDescent="0.25">
      <c r="C1019" s="183"/>
      <c r="D1019" s="183"/>
      <c r="E1019" s="183"/>
      <c r="F1019" s="183"/>
      <c r="G1019" s="183"/>
      <c r="H1019" s="183"/>
      <c r="I1019" s="183"/>
      <c r="J1019" s="183"/>
    </row>
    <row r="1020" spans="3:10" x14ac:dyDescent="0.25">
      <c r="C1020" s="183"/>
      <c r="D1020" s="183"/>
      <c r="E1020" s="183"/>
      <c r="F1020" s="183"/>
      <c r="G1020" s="183"/>
      <c r="H1020" s="183"/>
      <c r="I1020" s="183"/>
      <c r="J1020" s="183"/>
    </row>
    <row r="1021" spans="3:10" x14ac:dyDescent="0.25">
      <c r="C1021" s="183"/>
      <c r="D1021" s="183"/>
      <c r="E1021" s="183"/>
      <c r="F1021" s="183"/>
      <c r="G1021" s="183"/>
      <c r="H1021" s="183"/>
      <c r="I1021" s="183"/>
      <c r="J1021" s="183"/>
    </row>
    <row r="1022" spans="3:10" x14ac:dyDescent="0.25">
      <c r="C1022" s="183"/>
      <c r="D1022" s="183"/>
      <c r="E1022" s="183"/>
      <c r="F1022" s="183"/>
      <c r="G1022" s="183"/>
      <c r="H1022" s="183"/>
      <c r="I1022" s="183"/>
      <c r="J1022" s="183"/>
    </row>
    <row r="1023" spans="3:10" x14ac:dyDescent="0.25">
      <c r="C1023" s="183"/>
      <c r="D1023" s="183"/>
      <c r="E1023" s="183"/>
      <c r="F1023" s="183"/>
      <c r="G1023" s="183"/>
      <c r="H1023" s="183"/>
      <c r="I1023" s="183"/>
      <c r="J1023" s="183"/>
    </row>
    <row r="1024" spans="3:10" x14ac:dyDescent="0.25">
      <c r="C1024" s="183"/>
      <c r="D1024" s="183"/>
      <c r="E1024" s="183"/>
      <c r="F1024" s="183"/>
      <c r="G1024" s="183"/>
      <c r="H1024" s="183"/>
      <c r="I1024" s="183"/>
      <c r="J1024" s="183"/>
    </row>
    <row r="1025" spans="3:10" x14ac:dyDescent="0.25">
      <c r="C1025" s="183"/>
      <c r="D1025" s="183"/>
      <c r="E1025" s="183"/>
      <c r="F1025" s="183"/>
      <c r="G1025" s="183"/>
      <c r="H1025" s="183"/>
      <c r="I1025" s="183"/>
      <c r="J1025" s="183"/>
    </row>
    <row r="1026" spans="3:10" x14ac:dyDescent="0.25">
      <c r="C1026" s="183"/>
      <c r="D1026" s="183"/>
      <c r="E1026" s="183"/>
      <c r="F1026" s="183"/>
      <c r="G1026" s="183"/>
      <c r="H1026" s="183"/>
      <c r="I1026" s="183"/>
      <c r="J1026" s="183"/>
    </row>
    <row r="1027" spans="3:10" x14ac:dyDescent="0.25">
      <c r="C1027" s="183"/>
      <c r="D1027" s="183"/>
      <c r="E1027" s="183"/>
      <c r="F1027" s="183"/>
      <c r="G1027" s="183"/>
      <c r="H1027" s="183"/>
      <c r="I1027" s="183"/>
      <c r="J1027" s="183"/>
    </row>
    <row r="1028" spans="3:10" x14ac:dyDescent="0.25">
      <c r="C1028" s="183"/>
      <c r="D1028" s="183"/>
      <c r="E1028" s="183"/>
      <c r="F1028" s="183"/>
      <c r="G1028" s="183"/>
      <c r="H1028" s="183"/>
      <c r="I1028" s="183"/>
      <c r="J1028" s="183"/>
    </row>
    <row r="1029" spans="3:10" x14ac:dyDescent="0.25">
      <c r="C1029" s="183"/>
      <c r="D1029" s="183"/>
      <c r="E1029" s="183"/>
      <c r="F1029" s="183"/>
      <c r="G1029" s="183"/>
      <c r="H1029" s="183"/>
      <c r="I1029" s="183"/>
      <c r="J1029" s="183"/>
    </row>
    <row r="1030" spans="3:10" x14ac:dyDescent="0.25">
      <c r="C1030" s="183"/>
      <c r="D1030" s="183"/>
      <c r="E1030" s="183"/>
      <c r="F1030" s="183"/>
      <c r="G1030" s="183"/>
      <c r="H1030" s="183"/>
      <c r="I1030" s="183"/>
      <c r="J1030" s="183"/>
    </row>
    <row r="1031" spans="3:10" x14ac:dyDescent="0.25">
      <c r="C1031" s="183"/>
      <c r="D1031" s="183"/>
      <c r="E1031" s="183"/>
      <c r="F1031" s="183"/>
      <c r="G1031" s="183"/>
      <c r="H1031" s="183"/>
      <c r="I1031" s="183"/>
      <c r="J1031" s="183"/>
    </row>
    <row r="1032" spans="3:10" x14ac:dyDescent="0.25">
      <c r="C1032" s="183"/>
      <c r="D1032" s="183"/>
      <c r="E1032" s="183"/>
      <c r="F1032" s="183"/>
      <c r="G1032" s="183"/>
      <c r="H1032" s="183"/>
      <c r="I1032" s="183"/>
      <c r="J1032" s="183"/>
    </row>
    <row r="1033" spans="3:10" x14ac:dyDescent="0.25">
      <c r="C1033" s="183"/>
      <c r="D1033" s="183"/>
      <c r="E1033" s="183"/>
      <c r="F1033" s="183"/>
      <c r="G1033" s="183"/>
      <c r="H1033" s="183"/>
      <c r="I1033" s="183"/>
      <c r="J1033" s="183"/>
    </row>
    <row r="1034" spans="3:10" x14ac:dyDescent="0.25">
      <c r="C1034" s="183"/>
      <c r="D1034" s="183"/>
      <c r="E1034" s="183"/>
      <c r="F1034" s="183"/>
      <c r="G1034" s="183"/>
      <c r="H1034" s="183"/>
      <c r="I1034" s="183"/>
      <c r="J1034" s="183"/>
    </row>
    <row r="1035" spans="3:10" x14ac:dyDescent="0.25">
      <c r="C1035" s="183"/>
      <c r="D1035" s="183"/>
      <c r="E1035" s="183"/>
      <c r="F1035" s="183"/>
      <c r="G1035" s="183"/>
      <c r="H1035" s="183"/>
      <c r="I1035" s="183"/>
      <c r="J1035" s="183"/>
    </row>
    <row r="1036" spans="3:10" x14ac:dyDescent="0.25">
      <c r="C1036" s="183"/>
      <c r="D1036" s="183"/>
      <c r="E1036" s="183"/>
      <c r="F1036" s="183"/>
      <c r="G1036" s="183"/>
      <c r="H1036" s="183"/>
      <c r="I1036" s="183"/>
      <c r="J1036" s="183"/>
    </row>
    <row r="1037" spans="3:10" x14ac:dyDescent="0.25">
      <c r="C1037" s="183"/>
      <c r="D1037" s="183"/>
      <c r="E1037" s="183"/>
      <c r="F1037" s="183"/>
      <c r="G1037" s="183"/>
      <c r="H1037" s="183"/>
      <c r="I1037" s="183"/>
      <c r="J1037" s="183"/>
    </row>
    <row r="1038" spans="3:10" x14ac:dyDescent="0.25">
      <c r="C1038" s="183"/>
      <c r="D1038" s="183"/>
      <c r="E1038" s="183"/>
      <c r="F1038" s="183"/>
      <c r="G1038" s="183"/>
      <c r="H1038" s="183"/>
      <c r="I1038" s="183"/>
      <c r="J1038" s="183"/>
    </row>
    <row r="1039" spans="3:10" x14ac:dyDescent="0.25">
      <c r="C1039" s="183"/>
      <c r="D1039" s="183"/>
      <c r="E1039" s="183"/>
      <c r="F1039" s="183"/>
      <c r="G1039" s="183"/>
      <c r="H1039" s="183"/>
      <c r="I1039" s="183"/>
      <c r="J1039" s="183"/>
    </row>
    <row r="1040" spans="3:10" x14ac:dyDescent="0.25">
      <c r="C1040" s="183"/>
      <c r="D1040" s="183"/>
      <c r="E1040" s="183"/>
      <c r="F1040" s="183"/>
      <c r="G1040" s="183"/>
      <c r="H1040" s="183"/>
      <c r="I1040" s="183"/>
      <c r="J1040" s="183"/>
    </row>
    <row r="1041" spans="3:10" x14ac:dyDescent="0.25">
      <c r="C1041" s="183"/>
      <c r="D1041" s="183"/>
      <c r="E1041" s="183"/>
      <c r="F1041" s="183"/>
      <c r="G1041" s="183"/>
      <c r="H1041" s="183"/>
      <c r="I1041" s="183"/>
      <c r="J1041" s="183"/>
    </row>
    <row r="1042" spans="3:10" x14ac:dyDescent="0.25">
      <c r="C1042" s="183"/>
      <c r="D1042" s="183"/>
      <c r="E1042" s="183"/>
      <c r="F1042" s="183"/>
      <c r="G1042" s="183"/>
      <c r="H1042" s="183"/>
      <c r="I1042" s="183"/>
      <c r="J1042" s="183"/>
    </row>
    <row r="1043" spans="3:10" x14ac:dyDescent="0.25">
      <c r="C1043" s="183"/>
      <c r="D1043" s="183"/>
      <c r="E1043" s="183"/>
      <c r="F1043" s="183"/>
      <c r="G1043" s="183"/>
      <c r="H1043" s="183"/>
      <c r="I1043" s="183"/>
      <c r="J1043" s="183"/>
    </row>
    <row r="1044" spans="3:10" x14ac:dyDescent="0.25">
      <c r="C1044" s="183"/>
      <c r="D1044" s="183"/>
      <c r="E1044" s="183"/>
      <c r="F1044" s="183"/>
      <c r="G1044" s="183"/>
      <c r="H1044" s="183"/>
      <c r="I1044" s="183"/>
      <c r="J1044" s="183"/>
    </row>
    <row r="1045" spans="3:10" x14ac:dyDescent="0.25">
      <c r="C1045" s="183"/>
      <c r="D1045" s="183"/>
      <c r="E1045" s="183"/>
      <c r="F1045" s="183"/>
      <c r="G1045" s="183"/>
      <c r="H1045" s="183"/>
      <c r="I1045" s="183"/>
      <c r="J1045" s="183"/>
    </row>
    <row r="1046" spans="3:10" x14ac:dyDescent="0.25">
      <c r="C1046" s="183"/>
      <c r="D1046" s="183"/>
      <c r="E1046" s="183"/>
      <c r="F1046" s="183"/>
      <c r="G1046" s="183"/>
      <c r="H1046" s="183"/>
      <c r="I1046" s="183"/>
      <c r="J1046" s="183"/>
    </row>
    <row r="1047" spans="3:10" x14ac:dyDescent="0.25">
      <c r="C1047" s="183"/>
      <c r="D1047" s="183"/>
      <c r="E1047" s="183"/>
      <c r="F1047" s="183"/>
      <c r="G1047" s="183"/>
      <c r="H1047" s="183"/>
      <c r="I1047" s="183"/>
      <c r="J1047" s="183"/>
    </row>
    <row r="1048" spans="3:10" x14ac:dyDescent="0.25">
      <c r="C1048" s="183"/>
      <c r="D1048" s="183"/>
      <c r="E1048" s="183"/>
      <c r="F1048" s="183"/>
      <c r="G1048" s="183"/>
      <c r="H1048" s="183"/>
      <c r="I1048" s="183"/>
      <c r="J1048" s="183"/>
    </row>
    <row r="1049" spans="3:10" x14ac:dyDescent="0.25">
      <c r="C1049" s="183"/>
      <c r="D1049" s="183"/>
      <c r="E1049" s="183"/>
      <c r="F1049" s="183"/>
      <c r="G1049" s="183"/>
      <c r="H1049" s="183"/>
      <c r="I1049" s="183"/>
      <c r="J1049" s="183"/>
    </row>
    <row r="1050" spans="3:10" x14ac:dyDescent="0.25">
      <c r="C1050" s="183"/>
      <c r="D1050" s="183"/>
      <c r="E1050" s="183"/>
      <c r="F1050" s="183"/>
      <c r="G1050" s="183"/>
      <c r="H1050" s="183"/>
      <c r="I1050" s="183"/>
      <c r="J1050" s="183"/>
    </row>
    <row r="1051" spans="3:10" x14ac:dyDescent="0.25">
      <c r="C1051" s="183"/>
      <c r="D1051" s="183"/>
      <c r="E1051" s="183"/>
      <c r="F1051" s="183"/>
      <c r="G1051" s="183"/>
      <c r="H1051" s="183"/>
      <c r="I1051" s="183"/>
      <c r="J1051" s="183"/>
    </row>
    <row r="1052" spans="3:10" x14ac:dyDescent="0.25">
      <c r="C1052" s="183"/>
      <c r="D1052" s="183"/>
      <c r="E1052" s="183"/>
      <c r="F1052" s="183"/>
      <c r="G1052" s="183"/>
      <c r="H1052" s="183"/>
      <c r="I1052" s="183"/>
      <c r="J1052" s="183"/>
    </row>
    <row r="1053" spans="3:10" x14ac:dyDescent="0.25">
      <c r="C1053" s="183"/>
      <c r="D1053" s="183"/>
      <c r="E1053" s="183"/>
      <c r="F1053" s="183"/>
      <c r="G1053" s="183"/>
      <c r="H1053" s="183"/>
      <c r="I1053" s="183"/>
      <c r="J1053" s="183"/>
    </row>
    <row r="1054" spans="3:10" x14ac:dyDescent="0.25">
      <c r="C1054" s="183"/>
      <c r="D1054" s="183"/>
      <c r="E1054" s="183"/>
      <c r="F1054" s="183"/>
      <c r="G1054" s="183"/>
      <c r="H1054" s="183"/>
      <c r="I1054" s="183"/>
      <c r="J1054" s="183"/>
    </row>
    <row r="1055" spans="3:10" x14ac:dyDescent="0.25">
      <c r="C1055" s="183"/>
      <c r="D1055" s="183"/>
      <c r="E1055" s="183"/>
      <c r="F1055" s="183"/>
      <c r="G1055" s="183"/>
      <c r="H1055" s="183"/>
      <c r="I1055" s="183"/>
      <c r="J1055" s="183"/>
    </row>
    <row r="1056" spans="3:10" x14ac:dyDescent="0.25">
      <c r="C1056" s="183"/>
      <c r="D1056" s="183"/>
      <c r="E1056" s="183"/>
      <c r="F1056" s="183"/>
      <c r="G1056" s="183"/>
      <c r="H1056" s="183"/>
      <c r="I1056" s="183"/>
      <c r="J1056" s="183"/>
    </row>
    <row r="1057" spans="3:10" x14ac:dyDescent="0.25">
      <c r="C1057" s="183"/>
      <c r="D1057" s="183"/>
      <c r="E1057" s="183"/>
      <c r="F1057" s="183"/>
      <c r="G1057" s="183"/>
      <c r="H1057" s="183"/>
      <c r="I1057" s="183"/>
      <c r="J1057" s="183"/>
    </row>
    <row r="1058" spans="3:10" x14ac:dyDescent="0.25">
      <c r="C1058" s="183"/>
      <c r="D1058" s="183"/>
      <c r="E1058" s="183"/>
      <c r="F1058" s="183"/>
      <c r="G1058" s="183"/>
      <c r="H1058" s="183"/>
      <c r="I1058" s="183"/>
      <c r="J1058" s="183"/>
    </row>
    <row r="1059" spans="3:10" x14ac:dyDescent="0.25">
      <c r="C1059" s="183"/>
      <c r="D1059" s="183"/>
      <c r="E1059" s="183"/>
      <c r="F1059" s="183"/>
      <c r="G1059" s="183"/>
      <c r="H1059" s="183"/>
      <c r="I1059" s="183"/>
      <c r="J1059" s="183"/>
    </row>
    <row r="1060" spans="3:10" x14ac:dyDescent="0.25">
      <c r="C1060" s="183"/>
      <c r="D1060" s="183"/>
      <c r="E1060" s="183"/>
      <c r="F1060" s="183"/>
      <c r="G1060" s="183"/>
      <c r="H1060" s="183"/>
      <c r="I1060" s="183"/>
      <c r="J1060" s="183"/>
    </row>
    <row r="1061" spans="3:10" x14ac:dyDescent="0.25">
      <c r="C1061" s="183"/>
      <c r="D1061" s="183"/>
      <c r="E1061" s="183"/>
      <c r="F1061" s="183"/>
      <c r="G1061" s="183"/>
      <c r="H1061" s="183"/>
      <c r="I1061" s="183"/>
      <c r="J1061" s="183"/>
    </row>
    <row r="1062" spans="3:10" x14ac:dyDescent="0.25">
      <c r="C1062" s="183"/>
      <c r="D1062" s="183"/>
      <c r="E1062" s="183"/>
      <c r="F1062" s="183"/>
      <c r="G1062" s="183"/>
      <c r="H1062" s="183"/>
      <c r="I1062" s="183"/>
      <c r="J1062" s="183"/>
    </row>
    <row r="1063" spans="3:10" x14ac:dyDescent="0.25">
      <c r="C1063" s="183"/>
      <c r="D1063" s="183"/>
      <c r="E1063" s="183"/>
      <c r="F1063" s="183"/>
      <c r="G1063" s="183"/>
      <c r="H1063" s="183"/>
      <c r="I1063" s="183"/>
      <c r="J1063" s="183"/>
    </row>
    <row r="1064" spans="3:10" x14ac:dyDescent="0.25">
      <c r="C1064" s="183"/>
      <c r="D1064" s="183"/>
      <c r="E1064" s="183"/>
      <c r="F1064" s="183"/>
      <c r="G1064" s="183"/>
      <c r="H1064" s="183"/>
      <c r="I1064" s="183"/>
      <c r="J1064" s="183"/>
    </row>
    <row r="1065" spans="3:10" x14ac:dyDescent="0.25">
      <c r="C1065" s="183"/>
      <c r="D1065" s="183"/>
      <c r="E1065" s="183"/>
      <c r="F1065" s="183"/>
      <c r="G1065" s="183"/>
      <c r="H1065" s="183"/>
      <c r="I1065" s="183"/>
      <c r="J1065" s="183"/>
    </row>
    <row r="1066" spans="3:10" x14ac:dyDescent="0.25">
      <c r="C1066" s="183"/>
      <c r="D1066" s="183"/>
      <c r="E1066" s="183"/>
      <c r="F1066" s="183"/>
      <c r="G1066" s="183"/>
      <c r="H1066" s="183"/>
      <c r="I1066" s="183"/>
      <c r="J1066" s="183"/>
    </row>
    <row r="1067" spans="3:10" x14ac:dyDescent="0.25">
      <c r="C1067" s="183"/>
      <c r="D1067" s="183"/>
      <c r="E1067" s="183"/>
      <c r="F1067" s="183"/>
      <c r="G1067" s="183"/>
      <c r="H1067" s="183"/>
      <c r="I1067" s="183"/>
      <c r="J1067" s="183"/>
    </row>
    <row r="1068" spans="3:10" x14ac:dyDescent="0.25">
      <c r="C1068" s="183"/>
      <c r="D1068" s="183"/>
      <c r="E1068" s="183"/>
      <c r="F1068" s="183"/>
      <c r="G1068" s="183"/>
      <c r="H1068" s="183"/>
      <c r="I1068" s="183"/>
      <c r="J1068" s="183"/>
    </row>
    <row r="1069" spans="3:10" x14ac:dyDescent="0.25">
      <c r="C1069" s="183"/>
      <c r="D1069" s="183"/>
      <c r="E1069" s="183"/>
      <c r="F1069" s="183"/>
      <c r="G1069" s="183"/>
      <c r="H1069" s="183"/>
      <c r="I1069" s="183"/>
      <c r="J1069" s="183"/>
    </row>
    <row r="1070" spans="3:10" x14ac:dyDescent="0.25">
      <c r="C1070" s="183"/>
      <c r="D1070" s="183"/>
      <c r="E1070" s="183"/>
      <c r="F1070" s="183"/>
      <c r="G1070" s="183"/>
      <c r="H1070" s="183"/>
      <c r="I1070" s="183"/>
      <c r="J1070" s="183"/>
    </row>
    <row r="1071" spans="3:10" x14ac:dyDescent="0.25">
      <c r="C1071" s="183"/>
      <c r="D1071" s="183"/>
      <c r="E1071" s="183"/>
      <c r="F1071" s="183"/>
      <c r="G1071" s="183"/>
      <c r="H1071" s="183"/>
      <c r="I1071" s="183"/>
      <c r="J1071" s="183"/>
    </row>
    <row r="1072" spans="3:10" x14ac:dyDescent="0.25">
      <c r="C1072" s="183"/>
      <c r="D1072" s="183"/>
      <c r="E1072" s="183"/>
      <c r="F1072" s="183"/>
      <c r="G1072" s="183"/>
      <c r="H1072" s="183"/>
      <c r="I1072" s="183"/>
      <c r="J1072" s="183"/>
    </row>
    <row r="1073" spans="3:10" x14ac:dyDescent="0.25">
      <c r="C1073" s="183"/>
      <c r="D1073" s="183"/>
      <c r="E1073" s="183"/>
      <c r="F1073" s="183"/>
      <c r="G1073" s="183"/>
      <c r="H1073" s="183"/>
      <c r="I1073" s="183"/>
      <c r="J1073" s="183"/>
    </row>
    <row r="1074" spans="3:10" x14ac:dyDescent="0.25">
      <c r="C1074" s="183"/>
      <c r="D1074" s="183"/>
      <c r="E1074" s="183"/>
      <c r="F1074" s="183"/>
      <c r="G1074" s="183"/>
      <c r="H1074" s="183"/>
      <c r="I1074" s="183"/>
      <c r="J1074" s="183"/>
    </row>
    <row r="1075" spans="3:10" x14ac:dyDescent="0.25">
      <c r="C1075" s="183"/>
      <c r="D1075" s="183"/>
      <c r="E1075" s="183"/>
      <c r="F1075" s="183"/>
      <c r="G1075" s="183"/>
      <c r="H1075" s="183"/>
      <c r="I1075" s="183"/>
      <c r="J1075" s="183"/>
    </row>
    <row r="1076" spans="3:10" x14ac:dyDescent="0.25">
      <c r="C1076" s="183"/>
      <c r="D1076" s="183"/>
      <c r="E1076" s="183"/>
      <c r="F1076" s="183"/>
      <c r="G1076" s="183"/>
      <c r="H1076" s="183"/>
      <c r="I1076" s="183"/>
      <c r="J1076" s="183"/>
    </row>
    <row r="1077" spans="3:10" x14ac:dyDescent="0.25">
      <c r="C1077" s="183"/>
      <c r="D1077" s="183"/>
      <c r="E1077" s="183"/>
      <c r="F1077" s="183"/>
      <c r="G1077" s="183"/>
      <c r="H1077" s="183"/>
      <c r="I1077" s="183"/>
      <c r="J1077" s="183"/>
    </row>
    <row r="1078" spans="3:10" x14ac:dyDescent="0.25">
      <c r="C1078" s="183"/>
      <c r="D1078" s="183"/>
      <c r="E1078" s="183"/>
      <c r="F1078" s="183"/>
      <c r="G1078" s="183"/>
      <c r="H1078" s="183"/>
      <c r="I1078" s="183"/>
      <c r="J1078" s="183"/>
    </row>
    <row r="1079" spans="3:10" x14ac:dyDescent="0.25">
      <c r="C1079" s="183"/>
      <c r="D1079" s="183"/>
      <c r="E1079" s="183"/>
      <c r="F1079" s="183"/>
      <c r="G1079" s="183"/>
      <c r="H1079" s="183"/>
      <c r="I1079" s="183"/>
      <c r="J1079" s="183"/>
    </row>
    <row r="1080" spans="3:10" x14ac:dyDescent="0.25">
      <c r="C1080" s="183"/>
      <c r="D1080" s="183"/>
      <c r="E1080" s="183"/>
      <c r="F1080" s="183"/>
      <c r="G1080" s="183"/>
      <c r="H1080" s="183"/>
      <c r="I1080" s="183"/>
      <c r="J1080" s="183"/>
    </row>
    <row r="1081" spans="3:10" x14ac:dyDescent="0.25">
      <c r="C1081" s="183"/>
      <c r="D1081" s="183"/>
      <c r="E1081" s="183"/>
      <c r="F1081" s="183"/>
      <c r="G1081" s="183"/>
      <c r="H1081" s="183"/>
      <c r="I1081" s="183"/>
      <c r="J1081" s="183"/>
    </row>
    <row r="1082" spans="3:10" x14ac:dyDescent="0.25">
      <c r="C1082" s="183"/>
      <c r="D1082" s="183"/>
      <c r="E1082" s="183"/>
      <c r="F1082" s="183"/>
      <c r="G1082" s="183"/>
      <c r="H1082" s="183"/>
      <c r="I1082" s="183"/>
      <c r="J1082" s="183"/>
    </row>
    <row r="1083" spans="3:10" x14ac:dyDescent="0.25">
      <c r="C1083" s="183"/>
      <c r="D1083" s="183"/>
      <c r="E1083" s="183"/>
      <c r="F1083" s="183"/>
      <c r="G1083" s="183"/>
      <c r="H1083" s="183"/>
      <c r="I1083" s="183"/>
      <c r="J1083" s="183"/>
    </row>
    <row r="1084" spans="3:10" x14ac:dyDescent="0.25">
      <c r="C1084" s="183"/>
      <c r="D1084" s="183"/>
      <c r="E1084" s="183"/>
      <c r="F1084" s="183"/>
      <c r="G1084" s="183"/>
      <c r="H1084" s="183"/>
      <c r="I1084" s="183"/>
      <c r="J1084" s="183"/>
    </row>
    <row r="1085" spans="3:10" x14ac:dyDescent="0.25">
      <c r="C1085" s="183"/>
      <c r="D1085" s="183"/>
      <c r="E1085" s="183"/>
      <c r="F1085" s="183"/>
      <c r="G1085" s="183"/>
      <c r="H1085" s="183"/>
      <c r="I1085" s="183"/>
      <c r="J1085" s="183"/>
    </row>
    <row r="1086" spans="3:10" x14ac:dyDescent="0.25">
      <c r="C1086" s="183"/>
      <c r="D1086" s="183"/>
      <c r="E1086" s="183"/>
      <c r="F1086" s="183"/>
      <c r="G1086" s="183"/>
      <c r="H1086" s="183"/>
      <c r="I1086" s="183"/>
      <c r="J1086" s="183"/>
    </row>
    <row r="1087" spans="3:10" x14ac:dyDescent="0.25">
      <c r="C1087" s="183"/>
      <c r="D1087" s="183"/>
      <c r="E1087" s="183"/>
      <c r="F1087" s="183"/>
      <c r="G1087" s="183"/>
      <c r="H1087" s="183"/>
      <c r="I1087" s="183"/>
      <c r="J1087" s="183"/>
    </row>
    <row r="1088" spans="3:10" x14ac:dyDescent="0.25">
      <c r="C1088" s="183"/>
      <c r="D1088" s="183"/>
      <c r="E1088" s="183"/>
      <c r="F1088" s="183"/>
      <c r="G1088" s="183"/>
      <c r="H1088" s="183"/>
      <c r="I1088" s="183"/>
      <c r="J1088" s="183"/>
    </row>
    <row r="1089" spans="3:10" x14ac:dyDescent="0.25">
      <c r="C1089" s="183"/>
      <c r="D1089" s="183"/>
      <c r="E1089" s="183"/>
      <c r="F1089" s="183"/>
      <c r="G1089" s="183"/>
      <c r="H1089" s="183"/>
      <c r="I1089" s="183"/>
      <c r="J1089" s="183"/>
    </row>
    <row r="1090" spans="3:10" x14ac:dyDescent="0.25">
      <c r="C1090" s="183"/>
      <c r="D1090" s="183"/>
      <c r="E1090" s="183"/>
      <c r="F1090" s="183"/>
      <c r="G1090" s="183"/>
      <c r="H1090" s="183"/>
      <c r="I1090" s="183"/>
      <c r="J1090" s="183"/>
    </row>
    <row r="1091" spans="3:10" x14ac:dyDescent="0.25">
      <c r="C1091" s="183"/>
      <c r="D1091" s="183"/>
      <c r="E1091" s="183"/>
      <c r="F1091" s="183"/>
      <c r="G1091" s="183"/>
      <c r="H1091" s="183"/>
      <c r="I1091" s="183"/>
      <c r="J1091" s="183"/>
    </row>
    <row r="1092" spans="3:10" x14ac:dyDescent="0.25">
      <c r="C1092" s="183"/>
      <c r="D1092" s="183"/>
      <c r="E1092" s="183"/>
      <c r="F1092" s="183"/>
      <c r="G1092" s="183"/>
      <c r="H1092" s="183"/>
      <c r="I1092" s="183"/>
      <c r="J1092" s="183"/>
    </row>
    <row r="1093" spans="3:10" x14ac:dyDescent="0.25">
      <c r="C1093" s="183"/>
      <c r="D1093" s="183"/>
      <c r="E1093" s="183"/>
      <c r="F1093" s="183"/>
      <c r="G1093" s="183"/>
      <c r="H1093" s="183"/>
      <c r="I1093" s="183"/>
      <c r="J1093" s="183"/>
    </row>
    <row r="1094" spans="3:10" x14ac:dyDescent="0.25">
      <c r="C1094" s="183"/>
      <c r="D1094" s="183"/>
      <c r="E1094" s="183"/>
      <c r="F1094" s="183"/>
      <c r="G1094" s="183"/>
      <c r="H1094" s="183"/>
      <c r="I1094" s="183"/>
      <c r="J1094" s="183"/>
    </row>
    <row r="1095" spans="3:10" x14ac:dyDescent="0.25">
      <c r="C1095" s="183"/>
      <c r="D1095" s="183"/>
      <c r="E1095" s="183"/>
      <c r="F1095" s="183"/>
      <c r="G1095" s="183"/>
      <c r="H1095" s="183"/>
      <c r="I1095" s="183"/>
      <c r="J1095" s="183"/>
    </row>
    <row r="1096" spans="3:10" x14ac:dyDescent="0.25">
      <c r="C1096" s="183"/>
      <c r="D1096" s="183"/>
      <c r="E1096" s="183"/>
      <c r="F1096" s="183"/>
      <c r="G1096" s="183"/>
      <c r="H1096" s="183"/>
      <c r="I1096" s="183"/>
      <c r="J1096" s="183"/>
    </row>
    <row r="1097" spans="3:10" x14ac:dyDescent="0.25">
      <c r="C1097" s="183"/>
      <c r="D1097" s="183"/>
      <c r="E1097" s="183"/>
      <c r="F1097" s="183"/>
      <c r="G1097" s="183"/>
      <c r="H1097" s="183"/>
      <c r="I1097" s="183"/>
      <c r="J1097" s="183"/>
    </row>
    <row r="1098" spans="3:10" x14ac:dyDescent="0.25">
      <c r="C1098" s="183"/>
      <c r="D1098" s="183"/>
      <c r="E1098" s="183"/>
      <c r="F1098" s="183"/>
      <c r="G1098" s="183"/>
      <c r="H1098" s="183"/>
      <c r="I1098" s="183"/>
      <c r="J1098" s="183"/>
    </row>
    <row r="1099" spans="3:10" x14ac:dyDescent="0.25">
      <c r="C1099" s="183"/>
      <c r="D1099" s="183"/>
      <c r="E1099" s="183"/>
      <c r="F1099" s="183"/>
      <c r="G1099" s="183"/>
      <c r="H1099" s="183"/>
      <c r="I1099" s="183"/>
      <c r="J1099" s="183"/>
    </row>
    <row r="1100" spans="3:10" x14ac:dyDescent="0.25">
      <c r="C1100" s="183"/>
      <c r="D1100" s="183"/>
      <c r="E1100" s="183"/>
      <c r="F1100" s="183"/>
      <c r="G1100" s="183"/>
      <c r="H1100" s="183"/>
      <c r="I1100" s="183"/>
      <c r="J1100" s="183"/>
    </row>
    <row r="1101" spans="3:10" x14ac:dyDescent="0.25">
      <c r="C1101" s="183"/>
      <c r="D1101" s="183"/>
      <c r="E1101" s="183"/>
      <c r="F1101" s="183"/>
      <c r="G1101" s="183"/>
      <c r="H1101" s="183"/>
      <c r="I1101" s="183"/>
      <c r="J1101" s="183"/>
    </row>
    <row r="1102" spans="3:10" x14ac:dyDescent="0.25">
      <c r="C1102" s="183"/>
      <c r="D1102" s="183"/>
      <c r="E1102" s="183"/>
      <c r="F1102" s="183"/>
      <c r="G1102" s="183"/>
      <c r="H1102" s="183"/>
      <c r="I1102" s="183"/>
      <c r="J1102" s="183"/>
    </row>
    <row r="1103" spans="3:10" x14ac:dyDescent="0.25">
      <c r="C1103" s="183"/>
      <c r="D1103" s="183"/>
      <c r="E1103" s="183"/>
      <c r="F1103" s="183"/>
      <c r="G1103" s="183"/>
      <c r="H1103" s="183"/>
      <c r="I1103" s="183"/>
      <c r="J1103" s="183"/>
    </row>
    <row r="1104" spans="3:10" x14ac:dyDescent="0.25">
      <c r="C1104" s="183"/>
      <c r="D1104" s="183"/>
      <c r="E1104" s="183"/>
      <c r="F1104" s="183"/>
      <c r="G1104" s="183"/>
      <c r="H1104" s="183"/>
      <c r="I1104" s="183"/>
      <c r="J1104" s="183"/>
    </row>
    <row r="1105" spans="3:10" x14ac:dyDescent="0.25">
      <c r="C1105" s="183"/>
      <c r="D1105" s="183"/>
      <c r="E1105" s="183"/>
      <c r="F1105" s="183"/>
      <c r="G1105" s="183"/>
      <c r="H1105" s="183"/>
      <c r="I1105" s="183"/>
      <c r="J1105" s="183"/>
    </row>
    <row r="1106" spans="3:10" x14ac:dyDescent="0.25">
      <c r="C1106" s="183"/>
      <c r="D1106" s="183"/>
      <c r="E1106" s="183"/>
      <c r="F1106" s="183"/>
      <c r="G1106" s="183"/>
      <c r="H1106" s="183"/>
      <c r="I1106" s="183"/>
      <c r="J1106" s="183"/>
    </row>
    <row r="1107" spans="3:10" x14ac:dyDescent="0.25">
      <c r="C1107" s="183"/>
      <c r="D1107" s="183"/>
      <c r="E1107" s="183"/>
      <c r="F1107" s="183"/>
      <c r="G1107" s="183"/>
      <c r="H1107" s="183"/>
      <c r="I1107" s="183"/>
      <c r="J1107" s="183"/>
    </row>
    <row r="1108" spans="3:10" x14ac:dyDescent="0.25">
      <c r="C1108" s="183"/>
      <c r="D1108" s="183"/>
      <c r="E1108" s="183"/>
      <c r="F1108" s="183"/>
      <c r="G1108" s="183"/>
      <c r="H1108" s="183"/>
      <c r="I1108" s="183"/>
      <c r="J1108" s="183"/>
    </row>
    <row r="1109" spans="3:10" x14ac:dyDescent="0.25">
      <c r="C1109" s="183"/>
      <c r="D1109" s="183"/>
      <c r="E1109" s="183"/>
      <c r="F1109" s="183"/>
      <c r="G1109" s="183"/>
      <c r="H1109" s="183"/>
      <c r="I1109" s="183"/>
      <c r="J1109" s="183"/>
    </row>
    <row r="1110" spans="3:10" x14ac:dyDescent="0.25">
      <c r="C1110" s="183"/>
      <c r="D1110" s="183"/>
      <c r="E1110" s="183"/>
      <c r="F1110" s="183"/>
      <c r="G1110" s="183"/>
      <c r="H1110" s="183"/>
      <c r="I1110" s="183"/>
      <c r="J1110" s="183"/>
    </row>
    <row r="1111" spans="3:10" x14ac:dyDescent="0.25">
      <c r="C1111" s="183"/>
      <c r="D1111" s="183"/>
      <c r="E1111" s="183"/>
      <c r="F1111" s="183"/>
      <c r="G1111" s="183"/>
      <c r="H1111" s="183"/>
      <c r="I1111" s="183"/>
      <c r="J1111" s="183"/>
    </row>
    <row r="1112" spans="3:10" x14ac:dyDescent="0.25">
      <c r="C1112" s="183"/>
      <c r="D1112" s="183"/>
      <c r="E1112" s="183"/>
      <c r="F1112" s="183"/>
      <c r="G1112" s="183"/>
      <c r="H1112" s="183"/>
      <c r="I1112" s="183"/>
      <c r="J1112" s="183"/>
    </row>
    <row r="1113" spans="3:10" x14ac:dyDescent="0.25">
      <c r="C1113" s="183"/>
      <c r="D1113" s="183"/>
      <c r="E1113" s="183"/>
      <c r="F1113" s="183"/>
      <c r="G1113" s="183"/>
      <c r="H1113" s="183"/>
      <c r="I1113" s="183"/>
      <c r="J1113" s="183"/>
    </row>
    <row r="1114" spans="3:10" x14ac:dyDescent="0.25">
      <c r="C1114" s="183"/>
      <c r="D1114" s="183"/>
      <c r="E1114" s="183"/>
      <c r="F1114" s="183"/>
      <c r="G1114" s="183"/>
      <c r="H1114" s="183"/>
      <c r="I1114" s="183"/>
      <c r="J1114" s="183"/>
    </row>
    <row r="1115" spans="3:10" x14ac:dyDescent="0.25">
      <c r="C1115" s="183"/>
      <c r="D1115" s="183"/>
      <c r="E1115" s="183"/>
      <c r="F1115" s="183"/>
      <c r="G1115" s="183"/>
      <c r="H1115" s="183"/>
      <c r="I1115" s="183"/>
      <c r="J1115" s="183"/>
    </row>
    <row r="1116" spans="3:10" x14ac:dyDescent="0.25">
      <c r="C1116" s="183"/>
      <c r="D1116" s="183"/>
      <c r="E1116" s="183"/>
      <c r="F1116" s="183"/>
      <c r="G1116" s="183"/>
      <c r="H1116" s="183"/>
      <c r="I1116" s="183"/>
      <c r="J1116" s="183"/>
    </row>
    <row r="1117" spans="3:10" x14ac:dyDescent="0.25">
      <c r="C1117" s="183"/>
      <c r="D1117" s="183"/>
      <c r="E1117" s="183"/>
      <c r="F1117" s="183"/>
      <c r="G1117" s="183"/>
      <c r="H1117" s="183"/>
      <c r="I1117" s="183"/>
      <c r="J1117" s="183"/>
    </row>
    <row r="1118" spans="3:10" x14ac:dyDescent="0.25">
      <c r="C1118" s="183"/>
      <c r="D1118" s="183"/>
      <c r="E1118" s="183"/>
      <c r="F1118" s="183"/>
      <c r="G1118" s="183"/>
      <c r="H1118" s="183"/>
      <c r="I1118" s="183"/>
      <c r="J1118" s="183"/>
    </row>
    <row r="1119" spans="3:10" x14ac:dyDescent="0.25">
      <c r="C1119" s="183"/>
      <c r="D1119" s="183"/>
      <c r="E1119" s="183"/>
      <c r="F1119" s="183"/>
      <c r="G1119" s="183"/>
      <c r="H1119" s="183"/>
      <c r="I1119" s="183"/>
      <c r="J1119" s="183"/>
    </row>
    <row r="1120" spans="3:10" x14ac:dyDescent="0.25">
      <c r="C1120" s="183"/>
      <c r="D1120" s="183"/>
      <c r="E1120" s="183"/>
      <c r="F1120" s="183"/>
      <c r="G1120" s="183"/>
      <c r="H1120" s="183"/>
      <c r="I1120" s="183"/>
      <c r="J1120" s="183"/>
    </row>
    <row r="1121" spans="3:10" x14ac:dyDescent="0.25">
      <c r="C1121" s="183"/>
      <c r="D1121" s="183"/>
      <c r="E1121" s="183"/>
      <c r="F1121" s="183"/>
      <c r="G1121" s="183"/>
      <c r="H1121" s="183"/>
      <c r="I1121" s="183"/>
      <c r="J1121" s="183"/>
    </row>
    <row r="1122" spans="3:10" x14ac:dyDescent="0.25">
      <c r="C1122" s="183"/>
      <c r="D1122" s="183"/>
      <c r="E1122" s="183"/>
      <c r="F1122" s="183"/>
      <c r="G1122" s="183"/>
      <c r="H1122" s="183"/>
      <c r="I1122" s="183"/>
      <c r="J1122" s="183"/>
    </row>
    <row r="1123" spans="3:10" x14ac:dyDescent="0.25">
      <c r="C1123" s="183"/>
      <c r="D1123" s="183"/>
      <c r="E1123" s="183"/>
      <c r="F1123" s="183"/>
      <c r="G1123" s="183"/>
      <c r="H1123" s="183"/>
      <c r="I1123" s="183"/>
      <c r="J1123" s="183"/>
    </row>
    <row r="1124" spans="3:10" x14ac:dyDescent="0.25">
      <c r="C1124" s="183"/>
      <c r="D1124" s="183"/>
      <c r="E1124" s="183"/>
      <c r="F1124" s="183"/>
      <c r="G1124" s="183"/>
      <c r="H1124" s="183"/>
      <c r="I1124" s="183"/>
      <c r="J1124" s="183"/>
    </row>
    <row r="1125" spans="3:10" x14ac:dyDescent="0.25">
      <c r="C1125" s="183"/>
      <c r="D1125" s="183"/>
      <c r="E1125" s="183"/>
      <c r="F1125" s="183"/>
      <c r="G1125" s="183"/>
      <c r="H1125" s="183"/>
      <c r="I1125" s="183"/>
      <c r="J1125" s="183"/>
    </row>
    <row r="1126" spans="3:10" x14ac:dyDescent="0.25">
      <c r="C1126" s="183"/>
      <c r="D1126" s="183"/>
      <c r="E1126" s="183"/>
      <c r="F1126" s="183"/>
      <c r="G1126" s="183"/>
      <c r="H1126" s="183"/>
      <c r="I1126" s="183"/>
      <c r="J1126" s="183"/>
    </row>
    <row r="1127" spans="3:10" x14ac:dyDescent="0.25">
      <c r="C1127" s="183"/>
      <c r="D1127" s="183"/>
      <c r="E1127" s="183"/>
      <c r="F1127" s="183"/>
      <c r="G1127" s="183"/>
      <c r="H1127" s="183"/>
      <c r="I1127" s="183"/>
      <c r="J1127" s="183"/>
    </row>
    <row r="1128" spans="3:10" x14ac:dyDescent="0.25">
      <c r="C1128" s="183"/>
      <c r="D1128" s="183"/>
      <c r="E1128" s="183"/>
      <c r="F1128" s="183"/>
      <c r="G1128" s="183"/>
      <c r="H1128" s="183"/>
      <c r="I1128" s="183"/>
      <c r="J1128" s="183"/>
    </row>
    <row r="1129" spans="3:10" x14ac:dyDescent="0.25">
      <c r="C1129" s="183"/>
      <c r="D1129" s="183"/>
      <c r="E1129" s="183"/>
      <c r="F1129" s="183"/>
      <c r="G1129" s="183"/>
      <c r="H1129" s="183"/>
      <c r="I1129" s="183"/>
      <c r="J1129" s="183"/>
    </row>
    <row r="1130" spans="3:10" x14ac:dyDescent="0.25">
      <c r="C1130" s="183"/>
      <c r="D1130" s="183"/>
      <c r="E1130" s="183"/>
      <c r="F1130" s="183"/>
      <c r="G1130" s="183"/>
      <c r="H1130" s="183"/>
      <c r="I1130" s="183"/>
      <c r="J1130" s="183"/>
    </row>
    <row r="1131" spans="3:10" x14ac:dyDescent="0.25">
      <c r="C1131" s="183"/>
      <c r="D1131" s="183"/>
      <c r="E1131" s="183"/>
      <c r="F1131" s="183"/>
      <c r="G1131" s="183"/>
      <c r="H1131" s="183"/>
      <c r="I1131" s="183"/>
      <c r="J1131" s="183"/>
    </row>
    <row r="1132" spans="3:10" x14ac:dyDescent="0.25">
      <c r="C1132" s="183"/>
      <c r="D1132" s="183"/>
      <c r="E1132" s="183"/>
      <c r="F1132" s="183"/>
      <c r="G1132" s="183"/>
      <c r="H1132" s="183"/>
      <c r="I1132" s="183"/>
      <c r="J1132" s="183"/>
    </row>
    <row r="1133" spans="3:10" x14ac:dyDescent="0.25">
      <c r="C1133" s="183"/>
      <c r="D1133" s="183"/>
      <c r="E1133" s="183"/>
      <c r="F1133" s="183"/>
      <c r="G1133" s="183"/>
      <c r="H1133" s="183"/>
      <c r="I1133" s="183"/>
      <c r="J1133" s="183"/>
    </row>
    <row r="1134" spans="3:10" x14ac:dyDescent="0.25">
      <c r="C1134" s="183"/>
      <c r="D1134" s="183"/>
      <c r="E1134" s="183"/>
      <c r="F1134" s="183"/>
      <c r="G1134" s="183"/>
      <c r="H1134" s="183"/>
      <c r="I1134" s="183"/>
      <c r="J1134" s="183"/>
    </row>
    <row r="1135" spans="3:10" x14ac:dyDescent="0.25">
      <c r="C1135" s="183"/>
      <c r="D1135" s="183"/>
      <c r="E1135" s="183"/>
      <c r="F1135" s="183"/>
      <c r="G1135" s="183"/>
      <c r="H1135" s="183"/>
      <c r="I1135" s="183"/>
      <c r="J1135" s="183"/>
    </row>
    <row r="1136" spans="3:10" x14ac:dyDescent="0.25">
      <c r="C1136" s="183"/>
      <c r="D1136" s="183"/>
      <c r="E1136" s="183"/>
      <c r="F1136" s="183"/>
      <c r="G1136" s="183"/>
      <c r="H1136" s="183"/>
      <c r="I1136" s="183"/>
      <c r="J1136" s="183"/>
    </row>
    <row r="1137" spans="3:10" x14ac:dyDescent="0.25">
      <c r="C1137" s="183"/>
      <c r="D1137" s="183"/>
      <c r="E1137" s="183"/>
      <c r="F1137" s="183"/>
      <c r="G1137" s="183"/>
      <c r="H1137" s="183"/>
      <c r="I1137" s="183"/>
      <c r="J1137" s="183"/>
    </row>
    <row r="1138" spans="3:10" x14ac:dyDescent="0.25">
      <c r="C1138" s="183"/>
      <c r="D1138" s="183"/>
      <c r="E1138" s="183"/>
      <c r="F1138" s="183"/>
      <c r="G1138" s="183"/>
      <c r="H1138" s="183"/>
      <c r="I1138" s="183"/>
      <c r="J1138" s="183"/>
    </row>
    <row r="1139" spans="3:10" x14ac:dyDescent="0.25">
      <c r="C1139" s="183"/>
      <c r="D1139" s="183"/>
      <c r="E1139" s="183"/>
      <c r="F1139" s="183"/>
      <c r="G1139" s="183"/>
      <c r="H1139" s="183"/>
      <c r="I1139" s="183"/>
      <c r="J1139" s="183"/>
    </row>
    <row r="1140" spans="3:10" x14ac:dyDescent="0.25">
      <c r="C1140" s="183"/>
      <c r="D1140" s="183"/>
      <c r="E1140" s="183"/>
      <c r="F1140" s="183"/>
      <c r="G1140" s="183"/>
      <c r="H1140" s="183"/>
      <c r="I1140" s="183"/>
      <c r="J1140" s="183"/>
    </row>
    <row r="1141" spans="3:10" x14ac:dyDescent="0.25">
      <c r="C1141" s="183"/>
      <c r="D1141" s="183"/>
      <c r="E1141" s="183"/>
      <c r="F1141" s="183"/>
      <c r="G1141" s="183"/>
      <c r="H1141" s="183"/>
      <c r="I1141" s="183"/>
      <c r="J1141" s="183"/>
    </row>
    <row r="1142" spans="3:10" x14ac:dyDescent="0.25">
      <c r="C1142" s="183"/>
      <c r="D1142" s="183"/>
      <c r="E1142" s="183"/>
      <c r="F1142" s="183"/>
      <c r="G1142" s="183"/>
      <c r="H1142" s="183"/>
      <c r="I1142" s="183"/>
      <c r="J1142" s="183"/>
    </row>
    <row r="1143" spans="3:10" x14ac:dyDescent="0.25">
      <c r="C1143" s="183"/>
      <c r="D1143" s="183"/>
      <c r="E1143" s="183"/>
      <c r="F1143" s="183"/>
      <c r="G1143" s="183"/>
      <c r="H1143" s="183"/>
      <c r="I1143" s="183"/>
      <c r="J1143" s="183"/>
    </row>
    <row r="1144" spans="3:10" x14ac:dyDescent="0.25">
      <c r="C1144" s="183"/>
      <c r="D1144" s="183"/>
      <c r="E1144" s="183"/>
      <c r="F1144" s="183"/>
      <c r="G1144" s="183"/>
      <c r="H1144" s="183"/>
      <c r="I1144" s="183"/>
      <c r="J1144" s="183"/>
    </row>
    <row r="1145" spans="3:10" x14ac:dyDescent="0.25">
      <c r="C1145" s="183"/>
      <c r="D1145" s="183"/>
      <c r="E1145" s="183"/>
      <c r="F1145" s="183"/>
      <c r="G1145" s="183"/>
      <c r="H1145" s="183"/>
      <c r="I1145" s="183"/>
      <c r="J1145" s="183"/>
    </row>
    <row r="1146" spans="3:10" x14ac:dyDescent="0.25">
      <c r="C1146" s="183"/>
      <c r="D1146" s="183"/>
      <c r="E1146" s="183"/>
      <c r="F1146" s="183"/>
      <c r="G1146" s="183"/>
      <c r="H1146" s="183"/>
      <c r="I1146" s="183"/>
      <c r="J1146" s="183"/>
    </row>
    <row r="1147" spans="3:10" x14ac:dyDescent="0.25">
      <c r="C1147" s="183"/>
      <c r="D1147" s="183"/>
      <c r="E1147" s="183"/>
      <c r="F1147" s="183"/>
      <c r="G1147" s="183"/>
      <c r="H1147" s="183"/>
      <c r="I1147" s="183"/>
      <c r="J1147" s="183"/>
    </row>
    <row r="1148" spans="3:10" x14ac:dyDescent="0.25">
      <c r="C1148" s="183"/>
      <c r="D1148" s="183"/>
      <c r="E1148" s="183"/>
      <c r="F1148" s="183"/>
      <c r="G1148" s="183"/>
      <c r="H1148" s="183"/>
      <c r="I1148" s="183"/>
      <c r="J1148" s="183"/>
    </row>
    <row r="1149" spans="3:10" x14ac:dyDescent="0.25">
      <c r="C1149" s="183"/>
      <c r="D1149" s="183"/>
      <c r="E1149" s="183"/>
      <c r="F1149" s="183"/>
      <c r="G1149" s="183"/>
      <c r="H1149" s="183"/>
      <c r="I1149" s="183"/>
      <c r="J1149" s="183"/>
    </row>
    <row r="1150" spans="3:10" x14ac:dyDescent="0.25">
      <c r="C1150" s="183"/>
      <c r="D1150" s="183"/>
      <c r="E1150" s="183"/>
      <c r="F1150" s="183"/>
      <c r="G1150" s="183"/>
      <c r="H1150" s="183"/>
      <c r="I1150" s="183"/>
      <c r="J1150" s="183"/>
    </row>
    <row r="1151" spans="3:10" x14ac:dyDescent="0.25">
      <c r="C1151" s="183"/>
      <c r="D1151" s="183"/>
      <c r="E1151" s="183"/>
      <c r="F1151" s="183"/>
      <c r="G1151" s="183"/>
      <c r="H1151" s="183"/>
      <c r="I1151" s="183"/>
      <c r="J1151" s="183"/>
    </row>
    <row r="1152" spans="3:10" x14ac:dyDescent="0.25">
      <c r="C1152" s="183"/>
      <c r="D1152" s="183"/>
      <c r="E1152" s="183"/>
      <c r="F1152" s="183"/>
      <c r="G1152" s="183"/>
      <c r="H1152" s="183"/>
      <c r="I1152" s="183"/>
      <c r="J1152" s="183"/>
    </row>
    <row r="1153" spans="3:10" x14ac:dyDescent="0.25">
      <c r="C1153" s="183"/>
      <c r="D1153" s="183"/>
      <c r="E1153" s="183"/>
      <c r="F1153" s="183"/>
      <c r="G1153" s="183"/>
      <c r="H1153" s="183"/>
      <c r="I1153" s="183"/>
      <c r="J1153" s="183"/>
    </row>
    <row r="1154" spans="3:10" x14ac:dyDescent="0.25">
      <c r="C1154" s="183"/>
      <c r="D1154" s="183"/>
      <c r="E1154" s="183"/>
      <c r="F1154" s="183"/>
      <c r="G1154" s="183"/>
      <c r="H1154" s="183"/>
      <c r="I1154" s="183"/>
      <c r="J1154" s="183"/>
    </row>
    <row r="1155" spans="3:10" x14ac:dyDescent="0.25">
      <c r="C1155" s="183"/>
      <c r="D1155" s="183"/>
      <c r="E1155" s="183"/>
      <c r="F1155" s="183"/>
      <c r="G1155" s="183"/>
      <c r="H1155" s="183"/>
      <c r="I1155" s="183"/>
      <c r="J1155" s="183"/>
    </row>
    <row r="1156" spans="3:10" x14ac:dyDescent="0.25">
      <c r="C1156" s="183"/>
      <c r="D1156" s="183"/>
      <c r="E1156" s="183"/>
      <c r="F1156" s="183"/>
      <c r="G1156" s="183"/>
      <c r="H1156" s="183"/>
      <c r="I1156" s="183"/>
      <c r="J1156" s="183"/>
    </row>
    <row r="1157" spans="3:10" x14ac:dyDescent="0.25">
      <c r="C1157" s="183"/>
      <c r="D1157" s="183"/>
      <c r="E1157" s="183"/>
      <c r="F1157" s="183"/>
      <c r="G1157" s="183"/>
      <c r="H1157" s="183"/>
      <c r="I1157" s="183"/>
      <c r="J1157" s="183"/>
    </row>
    <row r="1158" spans="3:10" x14ac:dyDescent="0.25">
      <c r="C1158" s="183"/>
      <c r="D1158" s="183"/>
      <c r="E1158" s="183"/>
      <c r="F1158" s="183"/>
      <c r="G1158" s="183"/>
      <c r="H1158" s="183"/>
      <c r="I1158" s="183"/>
      <c r="J1158" s="183"/>
    </row>
    <row r="1159" spans="3:10" x14ac:dyDescent="0.25">
      <c r="C1159" s="183"/>
      <c r="D1159" s="183"/>
      <c r="E1159" s="183"/>
      <c r="F1159" s="183"/>
      <c r="G1159" s="183"/>
      <c r="H1159" s="183"/>
      <c r="I1159" s="183"/>
      <c r="J1159" s="183"/>
    </row>
    <row r="1160" spans="3:10" x14ac:dyDescent="0.25">
      <c r="C1160" s="183"/>
      <c r="D1160" s="183"/>
      <c r="E1160" s="183"/>
      <c r="F1160" s="183"/>
      <c r="G1160" s="183"/>
      <c r="H1160" s="183"/>
      <c r="I1160" s="183"/>
      <c r="J1160" s="183"/>
    </row>
    <row r="1161" spans="3:10" x14ac:dyDescent="0.25">
      <c r="C1161" s="183"/>
      <c r="D1161" s="183"/>
      <c r="E1161" s="183"/>
      <c r="F1161" s="183"/>
      <c r="G1161" s="183"/>
      <c r="H1161" s="183"/>
      <c r="I1161" s="183"/>
      <c r="J1161" s="183"/>
    </row>
    <row r="1162" spans="3:10" x14ac:dyDescent="0.25">
      <c r="C1162" s="183"/>
      <c r="D1162" s="183"/>
      <c r="E1162" s="183"/>
      <c r="F1162" s="183"/>
      <c r="G1162" s="183"/>
      <c r="H1162" s="183"/>
      <c r="I1162" s="183"/>
      <c r="J1162" s="183"/>
    </row>
    <row r="1163" spans="3:10" x14ac:dyDescent="0.25">
      <c r="C1163" s="183"/>
      <c r="D1163" s="183"/>
      <c r="E1163" s="183"/>
      <c r="F1163" s="183"/>
      <c r="G1163" s="183"/>
      <c r="H1163" s="183"/>
      <c r="I1163" s="183"/>
      <c r="J1163" s="183"/>
    </row>
    <row r="1164" spans="3:10" x14ac:dyDescent="0.25">
      <c r="C1164" s="183"/>
      <c r="D1164" s="183"/>
      <c r="E1164" s="183"/>
      <c r="F1164" s="183"/>
      <c r="G1164" s="183"/>
      <c r="H1164" s="183"/>
      <c r="I1164" s="183"/>
      <c r="J1164" s="183"/>
    </row>
    <row r="1165" spans="3:10" x14ac:dyDescent="0.25">
      <c r="C1165" s="183"/>
      <c r="D1165" s="183"/>
      <c r="E1165" s="183"/>
      <c r="F1165" s="183"/>
      <c r="G1165" s="183"/>
      <c r="H1165" s="183"/>
      <c r="I1165" s="183"/>
      <c r="J1165" s="183"/>
    </row>
    <row r="1166" spans="3:10" x14ac:dyDescent="0.25">
      <c r="C1166" s="183"/>
      <c r="D1166" s="183"/>
      <c r="E1166" s="183"/>
      <c r="F1166" s="183"/>
      <c r="G1166" s="183"/>
      <c r="H1166" s="183"/>
      <c r="I1166" s="183"/>
      <c r="J1166" s="183"/>
    </row>
    <row r="1167" spans="3:10" x14ac:dyDescent="0.25">
      <c r="C1167" s="183"/>
      <c r="D1167" s="183"/>
      <c r="E1167" s="183"/>
      <c r="F1167" s="183"/>
      <c r="G1167" s="183"/>
      <c r="H1167" s="183"/>
      <c r="I1167" s="183"/>
      <c r="J1167" s="183"/>
    </row>
    <row r="1168" spans="3:10" x14ac:dyDescent="0.25">
      <c r="C1168" s="183"/>
      <c r="D1168" s="183"/>
      <c r="E1168" s="183"/>
      <c r="F1168" s="183"/>
      <c r="G1168" s="183"/>
      <c r="H1168" s="183"/>
      <c r="I1168" s="183"/>
      <c r="J1168" s="183"/>
    </row>
    <row r="1169" spans="3:10" x14ac:dyDescent="0.25">
      <c r="C1169" s="183"/>
      <c r="D1169" s="183"/>
      <c r="E1169" s="183"/>
      <c r="F1169" s="183"/>
      <c r="G1169" s="183"/>
      <c r="H1169" s="183"/>
      <c r="I1169" s="183"/>
      <c r="J1169" s="183"/>
    </row>
    <row r="1170" spans="3:10" x14ac:dyDescent="0.25">
      <c r="C1170" s="183"/>
      <c r="D1170" s="183"/>
      <c r="E1170" s="183"/>
      <c r="F1170" s="183"/>
      <c r="G1170" s="183"/>
      <c r="H1170" s="183"/>
      <c r="I1170" s="183"/>
      <c r="J1170" s="183"/>
    </row>
    <row r="1171" spans="3:10" x14ac:dyDescent="0.25">
      <c r="C1171" s="183"/>
      <c r="D1171" s="183"/>
      <c r="E1171" s="183"/>
      <c r="F1171" s="183"/>
      <c r="G1171" s="183"/>
      <c r="H1171" s="183"/>
      <c r="I1171" s="183"/>
      <c r="J1171" s="183"/>
    </row>
    <row r="1172" spans="3:10" x14ac:dyDescent="0.25">
      <c r="C1172" s="183"/>
      <c r="D1172" s="183"/>
      <c r="E1172" s="183"/>
      <c r="F1172" s="183"/>
      <c r="G1172" s="183"/>
      <c r="H1172" s="183"/>
      <c r="I1172" s="183"/>
      <c r="J1172" s="183"/>
    </row>
    <row r="1173" spans="3:10" x14ac:dyDescent="0.25">
      <c r="C1173" s="183"/>
      <c r="D1173" s="183"/>
      <c r="E1173" s="183"/>
      <c r="F1173" s="183"/>
      <c r="G1173" s="183"/>
      <c r="H1173" s="183"/>
      <c r="I1173" s="183"/>
      <c r="J1173" s="183"/>
    </row>
    <row r="1174" spans="3:10" x14ac:dyDescent="0.25">
      <c r="C1174" s="183"/>
      <c r="D1174" s="183"/>
      <c r="E1174" s="183"/>
      <c r="F1174" s="183"/>
      <c r="G1174" s="183"/>
      <c r="H1174" s="183"/>
      <c r="I1174" s="183"/>
      <c r="J1174" s="183"/>
    </row>
    <row r="1175" spans="3:10" x14ac:dyDescent="0.25">
      <c r="C1175" s="183"/>
      <c r="D1175" s="183"/>
      <c r="E1175" s="183"/>
      <c r="F1175" s="183"/>
      <c r="G1175" s="183"/>
      <c r="H1175" s="183"/>
      <c r="I1175" s="183"/>
      <c r="J1175" s="183"/>
    </row>
    <row r="1176" spans="3:10" x14ac:dyDescent="0.25">
      <c r="C1176" s="183"/>
      <c r="D1176" s="183"/>
      <c r="E1176" s="183"/>
      <c r="F1176" s="183"/>
      <c r="G1176" s="183"/>
      <c r="H1176" s="183"/>
      <c r="I1176" s="183"/>
      <c r="J1176" s="183"/>
    </row>
    <row r="1177" spans="3:10" x14ac:dyDescent="0.25">
      <c r="C1177" s="183"/>
      <c r="D1177" s="183"/>
      <c r="E1177" s="183"/>
      <c r="F1177" s="183"/>
      <c r="G1177" s="183"/>
      <c r="H1177" s="183"/>
      <c r="I1177" s="183"/>
      <c r="J1177" s="183"/>
    </row>
    <row r="1178" spans="3:10" x14ac:dyDescent="0.25">
      <c r="C1178" s="183"/>
      <c r="D1178" s="183"/>
      <c r="E1178" s="183"/>
      <c r="F1178" s="183"/>
      <c r="G1178" s="183"/>
      <c r="H1178" s="183"/>
      <c r="I1178" s="183"/>
      <c r="J1178" s="183"/>
    </row>
    <row r="1179" spans="3:10" x14ac:dyDescent="0.25">
      <c r="C1179" s="183"/>
      <c r="D1179" s="183"/>
      <c r="E1179" s="183"/>
      <c r="F1179" s="183"/>
      <c r="G1179" s="183"/>
      <c r="H1179" s="183"/>
      <c r="I1179" s="183"/>
      <c r="J1179" s="183"/>
    </row>
    <row r="1180" spans="3:10" x14ac:dyDescent="0.25">
      <c r="C1180" s="183"/>
      <c r="D1180" s="183"/>
      <c r="E1180" s="183"/>
      <c r="F1180" s="183"/>
      <c r="G1180" s="183"/>
      <c r="H1180" s="183"/>
      <c r="I1180" s="183"/>
      <c r="J1180" s="183"/>
    </row>
    <row r="1181" spans="3:10" x14ac:dyDescent="0.25">
      <c r="C1181" s="183"/>
      <c r="D1181" s="183"/>
      <c r="E1181" s="183"/>
      <c r="F1181" s="183"/>
      <c r="G1181" s="183"/>
      <c r="H1181" s="183"/>
      <c r="I1181" s="183"/>
      <c r="J1181" s="183"/>
    </row>
    <row r="1182" spans="3:10" x14ac:dyDescent="0.25">
      <c r="C1182" s="183"/>
      <c r="D1182" s="183"/>
      <c r="E1182" s="183"/>
      <c r="F1182" s="183"/>
      <c r="G1182" s="183"/>
      <c r="H1182" s="183"/>
      <c r="I1182" s="183"/>
      <c r="J1182" s="183"/>
    </row>
    <row r="1183" spans="3:10" x14ac:dyDescent="0.25">
      <c r="C1183" s="183"/>
      <c r="D1183" s="183"/>
      <c r="E1183" s="183"/>
      <c r="F1183" s="183"/>
      <c r="G1183" s="183"/>
      <c r="H1183" s="183"/>
      <c r="I1183" s="183"/>
      <c r="J1183" s="183"/>
    </row>
    <row r="1184" spans="3:10" x14ac:dyDescent="0.25">
      <c r="C1184" s="183"/>
      <c r="D1184" s="183"/>
      <c r="E1184" s="183"/>
      <c r="F1184" s="183"/>
      <c r="G1184" s="183"/>
      <c r="H1184" s="183"/>
      <c r="I1184" s="183"/>
      <c r="J1184" s="183"/>
    </row>
    <row r="1185" spans="3:10" x14ac:dyDescent="0.25">
      <c r="C1185" s="183"/>
      <c r="D1185" s="183"/>
      <c r="E1185" s="183"/>
      <c r="F1185" s="183"/>
      <c r="G1185" s="183"/>
      <c r="H1185" s="183"/>
      <c r="I1185" s="183"/>
      <c r="J1185" s="183"/>
    </row>
    <row r="1186" spans="3:10" x14ac:dyDescent="0.25">
      <c r="C1186" s="183"/>
      <c r="D1186" s="183"/>
      <c r="E1186" s="183"/>
      <c r="F1186" s="183"/>
      <c r="G1186" s="183"/>
      <c r="H1186" s="183"/>
      <c r="I1186" s="183"/>
      <c r="J1186" s="183"/>
    </row>
    <row r="1187" spans="3:10" x14ac:dyDescent="0.25">
      <c r="C1187" s="183"/>
      <c r="D1187" s="183"/>
      <c r="E1187" s="183"/>
      <c r="F1187" s="183"/>
      <c r="G1187" s="183"/>
      <c r="H1187" s="183"/>
      <c r="I1187" s="183"/>
      <c r="J1187" s="183"/>
    </row>
    <row r="1188" spans="3:10" x14ac:dyDescent="0.25">
      <c r="C1188" s="183"/>
      <c r="D1188" s="183"/>
      <c r="E1188" s="183"/>
      <c r="F1188" s="183"/>
      <c r="G1188" s="183"/>
      <c r="H1188" s="183"/>
      <c r="I1188" s="183"/>
      <c r="J1188" s="183"/>
    </row>
    <row r="1189" spans="3:10" x14ac:dyDescent="0.25">
      <c r="C1189" s="183"/>
      <c r="D1189" s="183"/>
      <c r="E1189" s="183"/>
      <c r="F1189" s="183"/>
      <c r="G1189" s="183"/>
      <c r="H1189" s="183"/>
      <c r="I1189" s="183"/>
      <c r="J1189" s="183"/>
    </row>
    <row r="1190" spans="3:10" x14ac:dyDescent="0.25">
      <c r="C1190" s="183"/>
      <c r="D1190" s="183"/>
      <c r="E1190" s="183"/>
      <c r="F1190" s="183"/>
      <c r="G1190" s="183"/>
      <c r="H1190" s="183"/>
      <c r="I1190" s="183"/>
      <c r="J1190" s="183"/>
    </row>
    <row r="1191" spans="3:10" x14ac:dyDescent="0.25">
      <c r="C1191" s="183"/>
      <c r="D1191" s="183"/>
      <c r="E1191" s="183"/>
      <c r="F1191" s="183"/>
      <c r="G1191" s="183"/>
      <c r="H1191" s="183"/>
      <c r="I1191" s="183"/>
      <c r="J1191" s="183"/>
    </row>
    <row r="1192" spans="3:10" x14ac:dyDescent="0.25">
      <c r="C1192" s="183"/>
      <c r="D1192" s="183"/>
      <c r="E1192" s="183"/>
      <c r="F1192" s="183"/>
      <c r="G1192" s="183"/>
      <c r="H1192" s="183"/>
      <c r="I1192" s="183"/>
      <c r="J1192" s="183"/>
    </row>
    <row r="1193" spans="3:10" x14ac:dyDescent="0.25">
      <c r="C1193" s="183"/>
      <c r="D1193" s="183"/>
      <c r="E1193" s="183"/>
      <c r="F1193" s="183"/>
      <c r="G1193" s="183"/>
      <c r="H1193" s="183"/>
      <c r="I1193" s="183"/>
      <c r="J1193" s="183"/>
    </row>
    <row r="1194" spans="3:10" x14ac:dyDescent="0.25">
      <c r="C1194" s="183"/>
      <c r="D1194" s="183"/>
      <c r="E1194" s="183"/>
      <c r="F1194" s="183"/>
      <c r="G1194" s="183"/>
      <c r="H1194" s="183"/>
      <c r="I1194" s="183"/>
      <c r="J1194" s="183"/>
    </row>
    <row r="1195" spans="3:10" x14ac:dyDescent="0.25">
      <c r="C1195" s="183"/>
      <c r="D1195" s="183"/>
      <c r="E1195" s="183"/>
      <c r="F1195" s="183"/>
      <c r="G1195" s="183"/>
      <c r="H1195" s="183"/>
      <c r="I1195" s="183"/>
      <c r="J1195" s="183"/>
    </row>
    <row r="1196" spans="3:10" x14ac:dyDescent="0.25">
      <c r="C1196" s="183"/>
      <c r="D1196" s="183"/>
      <c r="E1196" s="183"/>
      <c r="F1196" s="183"/>
      <c r="G1196" s="183"/>
      <c r="H1196" s="183"/>
      <c r="I1196" s="183"/>
      <c r="J1196" s="183"/>
    </row>
    <row r="1197" spans="3:10" x14ac:dyDescent="0.25">
      <c r="C1197" s="183"/>
      <c r="D1197" s="183"/>
      <c r="E1197" s="183"/>
      <c r="F1197" s="183"/>
      <c r="G1197" s="183"/>
      <c r="H1197" s="183"/>
      <c r="I1197" s="183"/>
      <c r="J1197" s="183"/>
    </row>
    <row r="1198" spans="3:10" x14ac:dyDescent="0.25">
      <c r="C1198" s="183"/>
      <c r="D1198" s="183"/>
      <c r="E1198" s="183"/>
      <c r="F1198" s="183"/>
      <c r="G1198" s="183"/>
      <c r="H1198" s="183"/>
      <c r="I1198" s="183"/>
      <c r="J1198" s="183"/>
    </row>
    <row r="1199" spans="3:10" x14ac:dyDescent="0.25">
      <c r="C1199" s="183"/>
      <c r="D1199" s="183"/>
      <c r="E1199" s="183"/>
      <c r="F1199" s="183"/>
      <c r="G1199" s="183"/>
      <c r="H1199" s="183"/>
      <c r="I1199" s="183"/>
      <c r="J1199" s="183"/>
    </row>
    <row r="1200" spans="3:10" x14ac:dyDescent="0.25">
      <c r="C1200" s="183"/>
      <c r="D1200" s="183"/>
      <c r="E1200" s="183"/>
      <c r="F1200" s="183"/>
      <c r="G1200" s="183"/>
      <c r="H1200" s="183"/>
      <c r="I1200" s="183"/>
      <c r="J1200" s="183"/>
    </row>
    <row r="1201" spans="3:10" x14ac:dyDescent="0.25">
      <c r="C1201" s="183"/>
      <c r="D1201" s="183"/>
      <c r="E1201" s="183"/>
      <c r="F1201" s="183"/>
      <c r="G1201" s="183"/>
      <c r="H1201" s="183"/>
      <c r="I1201" s="183"/>
      <c r="J1201" s="183"/>
    </row>
    <row r="1202" spans="3:10" x14ac:dyDescent="0.25">
      <c r="C1202" s="183"/>
      <c r="D1202" s="183"/>
      <c r="E1202" s="183"/>
      <c r="F1202" s="183"/>
      <c r="G1202" s="183"/>
      <c r="H1202" s="183"/>
      <c r="I1202" s="183"/>
      <c r="J1202" s="183"/>
    </row>
    <row r="1203" spans="3:10" x14ac:dyDescent="0.25">
      <c r="C1203" s="183"/>
      <c r="D1203" s="183"/>
      <c r="E1203" s="183"/>
      <c r="F1203" s="183"/>
      <c r="G1203" s="183"/>
      <c r="H1203" s="183"/>
      <c r="I1203" s="183"/>
      <c r="J1203" s="183"/>
    </row>
    <row r="1204" spans="3:10" x14ac:dyDescent="0.25">
      <c r="C1204" s="183"/>
      <c r="D1204" s="183"/>
      <c r="E1204" s="183"/>
      <c r="F1204" s="183"/>
      <c r="G1204" s="183"/>
      <c r="H1204" s="183"/>
      <c r="I1204" s="183"/>
      <c r="J1204" s="183"/>
    </row>
    <row r="1205" spans="3:10" x14ac:dyDescent="0.25">
      <c r="C1205" s="183"/>
      <c r="D1205" s="183"/>
      <c r="E1205" s="183"/>
      <c r="F1205" s="183"/>
      <c r="G1205" s="183"/>
      <c r="H1205" s="183"/>
      <c r="I1205" s="183"/>
      <c r="J1205" s="183"/>
    </row>
    <row r="1206" spans="3:10" x14ac:dyDescent="0.25">
      <c r="C1206" s="183"/>
      <c r="D1206" s="183"/>
      <c r="E1206" s="183"/>
      <c r="F1206" s="183"/>
      <c r="G1206" s="183"/>
      <c r="H1206" s="183"/>
      <c r="I1206" s="183"/>
      <c r="J1206" s="183"/>
    </row>
    <row r="1207" spans="3:10" x14ac:dyDescent="0.25">
      <c r="C1207" s="183"/>
      <c r="D1207" s="183"/>
      <c r="E1207" s="183"/>
      <c r="F1207" s="183"/>
      <c r="G1207" s="183"/>
      <c r="H1207" s="183"/>
      <c r="I1207" s="183"/>
      <c r="J1207" s="183"/>
    </row>
    <row r="1208" spans="3:10" x14ac:dyDescent="0.25">
      <c r="C1208" s="183"/>
      <c r="D1208" s="183"/>
      <c r="E1208" s="183"/>
      <c r="F1208" s="183"/>
      <c r="G1208" s="183"/>
      <c r="H1208" s="183"/>
      <c r="I1208" s="183"/>
      <c r="J1208" s="183"/>
    </row>
    <row r="1209" spans="3:10" x14ac:dyDescent="0.25">
      <c r="C1209" s="183"/>
      <c r="D1209" s="183"/>
      <c r="E1209" s="183"/>
      <c r="F1209" s="183"/>
      <c r="G1209" s="183"/>
      <c r="H1209" s="183"/>
      <c r="I1209" s="183"/>
      <c r="J1209" s="183"/>
    </row>
    <row r="1210" spans="3:10" x14ac:dyDescent="0.25">
      <c r="C1210" s="183"/>
      <c r="D1210" s="183"/>
      <c r="E1210" s="183"/>
      <c r="F1210" s="183"/>
      <c r="G1210" s="183"/>
      <c r="H1210" s="183"/>
      <c r="I1210" s="183"/>
      <c r="J1210" s="183"/>
    </row>
    <row r="1211" spans="3:10" x14ac:dyDescent="0.25">
      <c r="C1211" s="183"/>
      <c r="D1211" s="183"/>
      <c r="E1211" s="183"/>
      <c r="F1211" s="183"/>
      <c r="G1211" s="183"/>
      <c r="H1211" s="183"/>
      <c r="I1211" s="183"/>
      <c r="J1211" s="183"/>
    </row>
    <row r="1212" spans="3:10" x14ac:dyDescent="0.25">
      <c r="C1212" s="183"/>
      <c r="D1212" s="183"/>
      <c r="E1212" s="183"/>
      <c r="F1212" s="183"/>
      <c r="G1212" s="183"/>
      <c r="H1212" s="183"/>
      <c r="I1212" s="183"/>
      <c r="J1212" s="183"/>
    </row>
    <row r="1213" spans="3:10" x14ac:dyDescent="0.25">
      <c r="C1213" s="183"/>
      <c r="D1213" s="183"/>
      <c r="E1213" s="183"/>
      <c r="F1213" s="183"/>
      <c r="G1213" s="183"/>
      <c r="H1213" s="183"/>
      <c r="I1213" s="183"/>
      <c r="J1213" s="183"/>
    </row>
    <row r="1214" spans="3:10" x14ac:dyDescent="0.25">
      <c r="C1214" s="183"/>
      <c r="D1214" s="183"/>
      <c r="E1214" s="183"/>
      <c r="F1214" s="183"/>
      <c r="G1214" s="183"/>
      <c r="H1214" s="183"/>
      <c r="I1214" s="183"/>
      <c r="J1214" s="183"/>
    </row>
    <row r="1215" spans="3:10" x14ac:dyDescent="0.25">
      <c r="C1215" s="183"/>
      <c r="D1215" s="183"/>
      <c r="E1215" s="183"/>
      <c r="F1215" s="183"/>
      <c r="G1215" s="183"/>
      <c r="H1215" s="183"/>
      <c r="I1215" s="183"/>
      <c r="J1215" s="183"/>
    </row>
    <row r="1216" spans="3:10" x14ac:dyDescent="0.25">
      <c r="C1216" s="183"/>
      <c r="D1216" s="183"/>
      <c r="E1216" s="183"/>
      <c r="F1216" s="183"/>
      <c r="G1216" s="183"/>
      <c r="H1216" s="183"/>
      <c r="I1216" s="183"/>
      <c r="J1216" s="183"/>
    </row>
    <row r="1217" spans="3:10" x14ac:dyDescent="0.25">
      <c r="C1217" s="183"/>
      <c r="D1217" s="183"/>
      <c r="E1217" s="183"/>
      <c r="F1217" s="183"/>
      <c r="G1217" s="183"/>
      <c r="H1217" s="183"/>
      <c r="I1217" s="183"/>
      <c r="J1217" s="183"/>
    </row>
    <row r="1218" spans="3:10" x14ac:dyDescent="0.25">
      <c r="C1218" s="183"/>
      <c r="D1218" s="183"/>
      <c r="E1218" s="183"/>
      <c r="F1218" s="183"/>
      <c r="G1218" s="183"/>
      <c r="H1218" s="183"/>
      <c r="I1218" s="183"/>
      <c r="J1218" s="183"/>
    </row>
    <row r="1219" spans="3:10" x14ac:dyDescent="0.25">
      <c r="C1219" s="183"/>
      <c r="D1219" s="183"/>
      <c r="E1219" s="183"/>
      <c r="F1219" s="183"/>
      <c r="G1219" s="183"/>
      <c r="H1219" s="183"/>
      <c r="I1219" s="183"/>
      <c r="J1219" s="183"/>
    </row>
    <row r="1220" spans="3:10" x14ac:dyDescent="0.25">
      <c r="C1220" s="183"/>
      <c r="D1220" s="183"/>
      <c r="E1220" s="183"/>
      <c r="F1220" s="183"/>
      <c r="G1220" s="183"/>
      <c r="H1220" s="183"/>
      <c r="I1220" s="183"/>
      <c r="J1220" s="183"/>
    </row>
    <row r="1221" spans="3:10" x14ac:dyDescent="0.25">
      <c r="C1221" s="183"/>
      <c r="D1221" s="183"/>
      <c r="E1221" s="183"/>
      <c r="F1221" s="183"/>
      <c r="G1221" s="183"/>
      <c r="H1221" s="183"/>
      <c r="I1221" s="183"/>
      <c r="J1221" s="183"/>
    </row>
    <row r="1222" spans="3:10" x14ac:dyDescent="0.25">
      <c r="C1222" s="183"/>
      <c r="D1222" s="183"/>
      <c r="E1222" s="183"/>
      <c r="F1222" s="183"/>
      <c r="G1222" s="183"/>
      <c r="H1222" s="183"/>
      <c r="I1222" s="183"/>
      <c r="J1222" s="183"/>
    </row>
    <row r="1223" spans="3:10" x14ac:dyDescent="0.25">
      <c r="C1223" s="183"/>
      <c r="D1223" s="183"/>
      <c r="E1223" s="183"/>
      <c r="F1223" s="183"/>
      <c r="G1223" s="183"/>
      <c r="H1223" s="183"/>
      <c r="I1223" s="183"/>
      <c r="J1223" s="183"/>
    </row>
    <row r="1224" spans="3:10" x14ac:dyDescent="0.25">
      <c r="C1224" s="183"/>
      <c r="D1224" s="183"/>
      <c r="E1224" s="183"/>
      <c r="F1224" s="183"/>
      <c r="G1224" s="183"/>
      <c r="H1224" s="183"/>
      <c r="I1224" s="183"/>
      <c r="J1224" s="183"/>
    </row>
    <row r="1225" spans="3:10" x14ac:dyDescent="0.25">
      <c r="C1225" s="183"/>
      <c r="D1225" s="183"/>
      <c r="E1225" s="183"/>
      <c r="F1225" s="183"/>
      <c r="G1225" s="183"/>
      <c r="H1225" s="183"/>
      <c r="I1225" s="183"/>
      <c r="J1225" s="183"/>
    </row>
    <row r="1226" spans="3:10" x14ac:dyDescent="0.25">
      <c r="C1226" s="183"/>
      <c r="D1226" s="183"/>
      <c r="E1226" s="183"/>
      <c r="F1226" s="183"/>
      <c r="G1226" s="183"/>
      <c r="H1226" s="183"/>
      <c r="I1226" s="183"/>
      <c r="J1226" s="183"/>
    </row>
    <row r="1227" spans="3:10" x14ac:dyDescent="0.25">
      <c r="C1227" s="183"/>
      <c r="D1227" s="183"/>
      <c r="E1227" s="183"/>
      <c r="F1227" s="183"/>
      <c r="G1227" s="183"/>
      <c r="H1227" s="183"/>
      <c r="I1227" s="183"/>
      <c r="J1227" s="183"/>
    </row>
    <row r="1228" spans="3:10" x14ac:dyDescent="0.25">
      <c r="C1228" s="183"/>
      <c r="D1228" s="183"/>
      <c r="E1228" s="183"/>
      <c r="F1228" s="183"/>
      <c r="G1228" s="183"/>
      <c r="H1228" s="183"/>
      <c r="I1228" s="183"/>
      <c r="J1228" s="183"/>
    </row>
    <row r="1229" spans="3:10" x14ac:dyDescent="0.25">
      <c r="C1229" s="183"/>
      <c r="D1229" s="183"/>
      <c r="E1229" s="183"/>
      <c r="F1229" s="183"/>
      <c r="G1229" s="183"/>
      <c r="H1229" s="183"/>
      <c r="I1229" s="183"/>
      <c r="J1229" s="183"/>
    </row>
    <row r="1230" spans="3:10" x14ac:dyDescent="0.25">
      <c r="C1230" s="183"/>
      <c r="D1230" s="183"/>
      <c r="E1230" s="183"/>
      <c r="F1230" s="183"/>
      <c r="G1230" s="183"/>
      <c r="H1230" s="183"/>
      <c r="I1230" s="183"/>
      <c r="J1230" s="183"/>
    </row>
    <row r="1231" spans="3:10" x14ac:dyDescent="0.25">
      <c r="C1231" s="183"/>
      <c r="D1231" s="183"/>
      <c r="E1231" s="183"/>
      <c r="F1231" s="183"/>
      <c r="G1231" s="183"/>
      <c r="H1231" s="183"/>
      <c r="I1231" s="183"/>
      <c r="J1231" s="183"/>
    </row>
    <row r="1232" spans="3:10" x14ac:dyDescent="0.25">
      <c r="C1232" s="183"/>
      <c r="D1232" s="183"/>
      <c r="E1232" s="183"/>
      <c r="F1232" s="183"/>
      <c r="G1232" s="183"/>
      <c r="H1232" s="183"/>
      <c r="I1232" s="183"/>
      <c r="J1232" s="183"/>
    </row>
    <row r="1233" spans="3:10" x14ac:dyDescent="0.25">
      <c r="C1233" s="183"/>
      <c r="D1233" s="183"/>
      <c r="E1233" s="183"/>
      <c r="F1233" s="183"/>
      <c r="G1233" s="183"/>
      <c r="H1233" s="183"/>
      <c r="I1233" s="183"/>
      <c r="J1233" s="183"/>
    </row>
    <row r="1234" spans="3:10" x14ac:dyDescent="0.25">
      <c r="C1234" s="183"/>
      <c r="D1234" s="183"/>
      <c r="E1234" s="183"/>
      <c r="F1234" s="183"/>
      <c r="G1234" s="183"/>
      <c r="H1234" s="183"/>
      <c r="I1234" s="183"/>
      <c r="J1234" s="183"/>
    </row>
    <row r="1235" spans="3:10" x14ac:dyDescent="0.25">
      <c r="C1235" s="183"/>
      <c r="D1235" s="183"/>
      <c r="E1235" s="183"/>
      <c r="F1235" s="183"/>
      <c r="G1235" s="183"/>
      <c r="H1235" s="183"/>
      <c r="I1235" s="183"/>
      <c r="J1235" s="183"/>
    </row>
    <row r="1236" spans="3:10" x14ac:dyDescent="0.25">
      <c r="C1236" s="183"/>
      <c r="D1236" s="183"/>
      <c r="E1236" s="183"/>
      <c r="F1236" s="183"/>
      <c r="G1236" s="183"/>
      <c r="H1236" s="183"/>
      <c r="I1236" s="183"/>
      <c r="J1236" s="183"/>
    </row>
    <row r="1237" spans="3:10" x14ac:dyDescent="0.25">
      <c r="C1237" s="183"/>
      <c r="D1237" s="183"/>
      <c r="E1237" s="183"/>
      <c r="F1237" s="183"/>
      <c r="G1237" s="183"/>
      <c r="H1237" s="183"/>
      <c r="I1237" s="183"/>
      <c r="J1237" s="183"/>
    </row>
    <row r="1238" spans="3:10" x14ac:dyDescent="0.25">
      <c r="C1238" s="183"/>
      <c r="D1238" s="183"/>
      <c r="E1238" s="183"/>
      <c r="F1238" s="183"/>
      <c r="G1238" s="183"/>
      <c r="H1238" s="183"/>
      <c r="I1238" s="183"/>
      <c r="J1238" s="183"/>
    </row>
    <row r="1239" spans="3:10" x14ac:dyDescent="0.25">
      <c r="C1239" s="183"/>
      <c r="D1239" s="183"/>
      <c r="E1239" s="183"/>
      <c r="F1239" s="183"/>
      <c r="G1239" s="183"/>
      <c r="H1239" s="183"/>
      <c r="I1239" s="183"/>
      <c r="J1239" s="183"/>
    </row>
    <row r="1240" spans="3:10" x14ac:dyDescent="0.25">
      <c r="C1240" s="183"/>
      <c r="D1240" s="183"/>
      <c r="E1240" s="183"/>
      <c r="F1240" s="183"/>
      <c r="G1240" s="183"/>
      <c r="H1240" s="183"/>
      <c r="I1240" s="183"/>
      <c r="J1240" s="183"/>
    </row>
    <row r="1241" spans="3:10" x14ac:dyDescent="0.25">
      <c r="C1241" s="183"/>
      <c r="D1241" s="183"/>
      <c r="E1241" s="183"/>
      <c r="F1241" s="183"/>
      <c r="G1241" s="183"/>
      <c r="H1241" s="183"/>
      <c r="I1241" s="183"/>
      <c r="J1241" s="183"/>
    </row>
    <row r="1242" spans="3:10" x14ac:dyDescent="0.25">
      <c r="C1242" s="183"/>
      <c r="D1242" s="183"/>
      <c r="E1242" s="183"/>
      <c r="F1242" s="183"/>
      <c r="G1242" s="183"/>
      <c r="H1242" s="183"/>
      <c r="I1242" s="183"/>
      <c r="J1242" s="183"/>
    </row>
    <row r="1243" spans="3:10" x14ac:dyDescent="0.25">
      <c r="C1243" s="183"/>
      <c r="D1243" s="183"/>
      <c r="E1243" s="183"/>
      <c r="F1243" s="183"/>
      <c r="G1243" s="183"/>
      <c r="H1243" s="183"/>
      <c r="I1243" s="183"/>
      <c r="J1243" s="183"/>
    </row>
    <row r="1244" spans="3:10" x14ac:dyDescent="0.25">
      <c r="C1244" s="183"/>
      <c r="D1244" s="183"/>
      <c r="E1244" s="183"/>
      <c r="F1244" s="183"/>
      <c r="G1244" s="183"/>
      <c r="H1244" s="183"/>
      <c r="I1244" s="183"/>
      <c r="J1244" s="183"/>
    </row>
    <row r="1245" spans="3:10" x14ac:dyDescent="0.25">
      <c r="C1245" s="183"/>
      <c r="D1245" s="183"/>
      <c r="E1245" s="183"/>
      <c r="F1245" s="183"/>
      <c r="G1245" s="183"/>
      <c r="H1245" s="183"/>
      <c r="I1245" s="183"/>
      <c r="J1245" s="183"/>
    </row>
    <row r="1246" spans="3:10" x14ac:dyDescent="0.25">
      <c r="C1246" s="183"/>
      <c r="D1246" s="183"/>
      <c r="E1246" s="183"/>
      <c r="F1246" s="183"/>
      <c r="G1246" s="183"/>
      <c r="H1246" s="183"/>
      <c r="I1246" s="183"/>
      <c r="J1246" s="183"/>
    </row>
    <row r="1247" spans="3:10" x14ac:dyDescent="0.25">
      <c r="C1247" s="183"/>
      <c r="D1247" s="183"/>
      <c r="E1247" s="183"/>
      <c r="F1247" s="183"/>
      <c r="G1247" s="183"/>
      <c r="H1247" s="183"/>
      <c r="I1247" s="183"/>
      <c r="J1247" s="183"/>
    </row>
    <row r="1248" spans="3:10" x14ac:dyDescent="0.25">
      <c r="C1248" s="183"/>
      <c r="D1248" s="183"/>
      <c r="E1248" s="183"/>
      <c r="F1248" s="183"/>
      <c r="G1248" s="183"/>
      <c r="H1248" s="183"/>
      <c r="I1248" s="183"/>
      <c r="J1248" s="183"/>
    </row>
    <row r="1249" spans="3:10" x14ac:dyDescent="0.25">
      <c r="C1249" s="183"/>
      <c r="D1249" s="183"/>
      <c r="E1249" s="183"/>
      <c r="F1249" s="183"/>
      <c r="G1249" s="183"/>
      <c r="H1249" s="183"/>
      <c r="I1249" s="183"/>
      <c r="J1249" s="183"/>
    </row>
    <row r="1250" spans="3:10" x14ac:dyDescent="0.25">
      <c r="C1250" s="183"/>
      <c r="D1250" s="183"/>
      <c r="E1250" s="183"/>
      <c r="F1250" s="183"/>
      <c r="G1250" s="183"/>
      <c r="H1250" s="183"/>
      <c r="I1250" s="183"/>
      <c r="J1250" s="183"/>
    </row>
    <row r="1251" spans="3:10" x14ac:dyDescent="0.25">
      <c r="C1251" s="183"/>
      <c r="D1251" s="183"/>
      <c r="E1251" s="183"/>
      <c r="F1251" s="183"/>
      <c r="G1251" s="183"/>
      <c r="H1251" s="183"/>
      <c r="I1251" s="183"/>
      <c r="J1251" s="183"/>
    </row>
    <row r="1252" spans="3:10" x14ac:dyDescent="0.25">
      <c r="C1252" s="183"/>
      <c r="D1252" s="183"/>
      <c r="E1252" s="183"/>
      <c r="F1252" s="183"/>
      <c r="G1252" s="183"/>
      <c r="H1252" s="183"/>
      <c r="I1252" s="183"/>
      <c r="J1252" s="183"/>
    </row>
    <row r="1253" spans="3:10" x14ac:dyDescent="0.25">
      <c r="C1253" s="183"/>
      <c r="D1253" s="183"/>
      <c r="E1253" s="183"/>
      <c r="F1253" s="183"/>
      <c r="G1253" s="183"/>
      <c r="H1253" s="183"/>
      <c r="I1253" s="183"/>
      <c r="J1253" s="183"/>
    </row>
    <row r="1254" spans="3:10" x14ac:dyDescent="0.25">
      <c r="C1254" s="183"/>
      <c r="D1254" s="183"/>
      <c r="E1254" s="183"/>
      <c r="F1254" s="183"/>
      <c r="G1254" s="183"/>
      <c r="H1254" s="183"/>
      <c r="I1254" s="183"/>
      <c r="J1254" s="183"/>
    </row>
    <row r="1255" spans="3:10" x14ac:dyDescent="0.25">
      <c r="C1255" s="183"/>
      <c r="D1255" s="183"/>
      <c r="E1255" s="183"/>
      <c r="F1255" s="183"/>
      <c r="G1255" s="183"/>
      <c r="H1255" s="183"/>
      <c r="I1255" s="183"/>
      <c r="J1255" s="183"/>
    </row>
    <row r="1256" spans="3:10" x14ac:dyDescent="0.25">
      <c r="C1256" s="183"/>
      <c r="D1256" s="183"/>
      <c r="E1256" s="183"/>
      <c r="F1256" s="183"/>
      <c r="G1256" s="183"/>
      <c r="H1256" s="183"/>
      <c r="I1256" s="183"/>
      <c r="J1256" s="183"/>
    </row>
    <row r="1257" spans="3:10" x14ac:dyDescent="0.25">
      <c r="C1257" s="183"/>
      <c r="D1257" s="183"/>
      <c r="E1257" s="183"/>
      <c r="F1257" s="183"/>
      <c r="G1257" s="183"/>
      <c r="H1257" s="183"/>
      <c r="I1257" s="183"/>
      <c r="J1257" s="183"/>
    </row>
    <row r="1258" spans="3:10" x14ac:dyDescent="0.25">
      <c r="C1258" s="183"/>
      <c r="D1258" s="183"/>
      <c r="E1258" s="183"/>
      <c r="F1258" s="183"/>
      <c r="G1258" s="183"/>
      <c r="H1258" s="183"/>
      <c r="I1258" s="183"/>
      <c r="J1258" s="183"/>
    </row>
    <row r="1259" spans="3:10" x14ac:dyDescent="0.25">
      <c r="C1259" s="183"/>
      <c r="D1259" s="183"/>
      <c r="E1259" s="183"/>
      <c r="F1259" s="183"/>
      <c r="G1259" s="183"/>
      <c r="H1259" s="183"/>
      <c r="I1259" s="183"/>
      <c r="J1259" s="183"/>
    </row>
    <row r="1260" spans="3:10" x14ac:dyDescent="0.25">
      <c r="C1260" s="183"/>
      <c r="D1260" s="183"/>
      <c r="E1260" s="183"/>
      <c r="F1260" s="183"/>
      <c r="G1260" s="183"/>
      <c r="H1260" s="183"/>
      <c r="I1260" s="183"/>
      <c r="J1260" s="183"/>
    </row>
    <row r="1261" spans="3:10" x14ac:dyDescent="0.25">
      <c r="C1261" s="183"/>
      <c r="D1261" s="183"/>
      <c r="E1261" s="183"/>
      <c r="F1261" s="183"/>
      <c r="G1261" s="183"/>
      <c r="H1261" s="183"/>
      <c r="I1261" s="183"/>
      <c r="J1261" s="183"/>
    </row>
    <row r="1262" spans="3:10" x14ac:dyDescent="0.25">
      <c r="C1262" s="183"/>
      <c r="D1262" s="183"/>
      <c r="E1262" s="183"/>
      <c r="F1262" s="183"/>
      <c r="G1262" s="183"/>
      <c r="H1262" s="183"/>
      <c r="I1262" s="183"/>
      <c r="J1262" s="183"/>
    </row>
    <row r="1263" spans="3:10" x14ac:dyDescent="0.25">
      <c r="C1263" s="183"/>
      <c r="D1263" s="183"/>
      <c r="E1263" s="183"/>
      <c r="F1263" s="183"/>
      <c r="G1263" s="183"/>
      <c r="H1263" s="183"/>
      <c r="I1263" s="183"/>
      <c r="J1263" s="183"/>
    </row>
    <row r="1264" spans="3:10" x14ac:dyDescent="0.25">
      <c r="C1264" s="183"/>
      <c r="D1264" s="183"/>
      <c r="E1264" s="183"/>
      <c r="F1264" s="183"/>
      <c r="G1264" s="183"/>
      <c r="H1264" s="183"/>
      <c r="I1264" s="183"/>
      <c r="J1264" s="183"/>
    </row>
    <row r="1265" spans="3:10" x14ac:dyDescent="0.25">
      <c r="C1265" s="183"/>
      <c r="D1265" s="183"/>
      <c r="E1265" s="183"/>
      <c r="F1265" s="183"/>
      <c r="G1265" s="183"/>
      <c r="H1265" s="183"/>
      <c r="I1265" s="183"/>
      <c r="J1265" s="183"/>
    </row>
    <row r="1266" spans="3:10" x14ac:dyDescent="0.25">
      <c r="C1266" s="183"/>
      <c r="D1266" s="183"/>
      <c r="E1266" s="183"/>
      <c r="F1266" s="183"/>
      <c r="G1266" s="183"/>
      <c r="H1266" s="183"/>
      <c r="I1266" s="183"/>
      <c r="J1266" s="183"/>
    </row>
    <row r="1267" spans="3:10" x14ac:dyDescent="0.25">
      <c r="C1267" s="183"/>
      <c r="D1267" s="183"/>
      <c r="E1267" s="183"/>
      <c r="F1267" s="183"/>
      <c r="G1267" s="183"/>
      <c r="H1267" s="183"/>
      <c r="I1267" s="183"/>
      <c r="J1267" s="183"/>
    </row>
    <row r="1268" spans="3:10" x14ac:dyDescent="0.25">
      <c r="C1268" s="183"/>
      <c r="D1268" s="183"/>
      <c r="E1268" s="183"/>
      <c r="F1268" s="183"/>
      <c r="G1268" s="183"/>
      <c r="H1268" s="183"/>
      <c r="I1268" s="183"/>
      <c r="J1268" s="183"/>
    </row>
    <row r="1269" spans="3:10" x14ac:dyDescent="0.25">
      <c r="C1269" s="183"/>
      <c r="D1269" s="183"/>
      <c r="E1269" s="183"/>
      <c r="F1269" s="183"/>
      <c r="G1269" s="183"/>
      <c r="H1269" s="183"/>
      <c r="I1269" s="183"/>
      <c r="J1269" s="183"/>
    </row>
    <row r="1270" spans="3:10" x14ac:dyDescent="0.25">
      <c r="C1270" s="183"/>
      <c r="D1270" s="183"/>
      <c r="E1270" s="183"/>
      <c r="F1270" s="183"/>
      <c r="G1270" s="183"/>
      <c r="H1270" s="183"/>
      <c r="I1270" s="183"/>
      <c r="J1270" s="183"/>
    </row>
    <row r="1271" spans="3:10" x14ac:dyDescent="0.25">
      <c r="C1271" s="183"/>
      <c r="D1271" s="183"/>
      <c r="E1271" s="183"/>
      <c r="F1271" s="183"/>
      <c r="G1271" s="183"/>
      <c r="H1271" s="183"/>
      <c r="I1271" s="183"/>
      <c r="J1271" s="183"/>
    </row>
    <row r="1272" spans="3:10" x14ac:dyDescent="0.25">
      <c r="C1272" s="183"/>
      <c r="D1272" s="183"/>
      <c r="E1272" s="183"/>
      <c r="F1272" s="183"/>
      <c r="G1272" s="183"/>
      <c r="H1272" s="183"/>
      <c r="I1272" s="183"/>
      <c r="J1272" s="183"/>
    </row>
    <row r="1273" spans="3:10" x14ac:dyDescent="0.25">
      <c r="C1273" s="183"/>
      <c r="D1273" s="183"/>
      <c r="E1273" s="183"/>
      <c r="F1273" s="183"/>
      <c r="G1273" s="183"/>
      <c r="H1273" s="183"/>
      <c r="I1273" s="183"/>
      <c r="J1273" s="183"/>
    </row>
    <row r="1274" spans="3:10" x14ac:dyDescent="0.25">
      <c r="C1274" s="183"/>
      <c r="D1274" s="183"/>
      <c r="E1274" s="183"/>
      <c r="F1274" s="183"/>
      <c r="G1274" s="183"/>
      <c r="H1274" s="183"/>
      <c r="I1274" s="183"/>
      <c r="J1274" s="183"/>
    </row>
    <row r="1275" spans="3:10" x14ac:dyDescent="0.25">
      <c r="C1275" s="183"/>
      <c r="D1275" s="183"/>
      <c r="E1275" s="183"/>
      <c r="F1275" s="183"/>
      <c r="G1275" s="183"/>
      <c r="H1275" s="183"/>
      <c r="I1275" s="183"/>
      <c r="J1275" s="183"/>
    </row>
    <row r="1276" spans="3:10" x14ac:dyDescent="0.25">
      <c r="C1276" s="183"/>
      <c r="D1276" s="183"/>
      <c r="E1276" s="183"/>
      <c r="F1276" s="183"/>
      <c r="G1276" s="183"/>
      <c r="H1276" s="183"/>
      <c r="I1276" s="183"/>
      <c r="J1276" s="183"/>
    </row>
    <row r="1277" spans="3:10" x14ac:dyDescent="0.25">
      <c r="C1277" s="183"/>
      <c r="D1277" s="183"/>
      <c r="E1277" s="183"/>
      <c r="F1277" s="183"/>
      <c r="G1277" s="183"/>
      <c r="H1277" s="183"/>
      <c r="I1277" s="183"/>
      <c r="J1277" s="183"/>
    </row>
    <row r="1278" spans="3:10" x14ac:dyDescent="0.25">
      <c r="C1278" s="183"/>
      <c r="D1278" s="183"/>
      <c r="E1278" s="183"/>
      <c r="F1278" s="183"/>
      <c r="G1278" s="183"/>
      <c r="H1278" s="183"/>
      <c r="I1278" s="183"/>
      <c r="J1278" s="183"/>
    </row>
    <row r="1279" spans="3:10" x14ac:dyDescent="0.25">
      <c r="C1279" s="183"/>
      <c r="D1279" s="183"/>
      <c r="E1279" s="183"/>
      <c r="F1279" s="183"/>
      <c r="G1279" s="183"/>
      <c r="H1279" s="183"/>
      <c r="I1279" s="183"/>
      <c r="J1279" s="183"/>
    </row>
    <row r="1280" spans="3:10" x14ac:dyDescent="0.25">
      <c r="C1280" s="183"/>
      <c r="D1280" s="183"/>
      <c r="E1280" s="183"/>
      <c r="F1280" s="183"/>
      <c r="G1280" s="183"/>
      <c r="H1280" s="183"/>
      <c r="I1280" s="183"/>
      <c r="J1280" s="183"/>
    </row>
    <row r="1281" spans="3:10" x14ac:dyDescent="0.25">
      <c r="C1281" s="183"/>
      <c r="D1281" s="183"/>
      <c r="E1281" s="183"/>
      <c r="F1281" s="183"/>
      <c r="G1281" s="183"/>
      <c r="H1281" s="183"/>
      <c r="I1281" s="183"/>
      <c r="J1281" s="183"/>
    </row>
    <row r="1282" spans="3:10" x14ac:dyDescent="0.25">
      <c r="C1282" s="183"/>
      <c r="D1282" s="183"/>
      <c r="E1282" s="183"/>
      <c r="F1282" s="183"/>
      <c r="G1282" s="183"/>
      <c r="H1282" s="183"/>
      <c r="I1282" s="183"/>
      <c r="J1282" s="183"/>
    </row>
    <row r="1283" spans="3:10" x14ac:dyDescent="0.25">
      <c r="C1283" s="183"/>
      <c r="D1283" s="183"/>
      <c r="E1283" s="183"/>
      <c r="F1283" s="183"/>
      <c r="G1283" s="183"/>
      <c r="H1283" s="183"/>
      <c r="I1283" s="183"/>
      <c r="J1283" s="183"/>
    </row>
    <row r="1284" spans="3:10" x14ac:dyDescent="0.25">
      <c r="C1284" s="183"/>
      <c r="D1284" s="183"/>
      <c r="E1284" s="183"/>
      <c r="F1284" s="183"/>
      <c r="G1284" s="183"/>
      <c r="H1284" s="183"/>
      <c r="I1284" s="183"/>
      <c r="J1284" s="183"/>
    </row>
    <row r="1285" spans="3:10" x14ac:dyDescent="0.25">
      <c r="C1285" s="183"/>
      <c r="D1285" s="183"/>
      <c r="E1285" s="183"/>
      <c r="F1285" s="183"/>
      <c r="G1285" s="183"/>
      <c r="H1285" s="183"/>
      <c r="I1285" s="183"/>
      <c r="J1285" s="183"/>
    </row>
    <row r="1286" spans="3:10" x14ac:dyDescent="0.25">
      <c r="C1286" s="183"/>
      <c r="D1286" s="183"/>
      <c r="E1286" s="183"/>
      <c r="F1286" s="183"/>
      <c r="G1286" s="183"/>
      <c r="H1286" s="183"/>
      <c r="I1286" s="183"/>
      <c r="J1286" s="183"/>
    </row>
    <row r="1287" spans="3:10" x14ac:dyDescent="0.25">
      <c r="C1287" s="183"/>
      <c r="D1287" s="183"/>
      <c r="E1287" s="183"/>
      <c r="F1287" s="183"/>
      <c r="G1287" s="183"/>
      <c r="H1287" s="183"/>
      <c r="I1287" s="183"/>
      <c r="J1287" s="183"/>
    </row>
    <row r="1288" spans="3:10" x14ac:dyDescent="0.25">
      <c r="C1288" s="183"/>
      <c r="D1288" s="183"/>
      <c r="E1288" s="183"/>
      <c r="F1288" s="183"/>
      <c r="G1288" s="183"/>
      <c r="H1288" s="183"/>
      <c r="I1288" s="183"/>
      <c r="J1288" s="183"/>
    </row>
    <row r="1289" spans="3:10" x14ac:dyDescent="0.25">
      <c r="C1289" s="183"/>
      <c r="D1289" s="183"/>
      <c r="E1289" s="183"/>
      <c r="F1289" s="183"/>
      <c r="G1289" s="183"/>
      <c r="H1289" s="183"/>
      <c r="I1289" s="183"/>
      <c r="J1289" s="183"/>
    </row>
    <row r="1290" spans="3:10" x14ac:dyDescent="0.25">
      <c r="C1290" s="183"/>
      <c r="D1290" s="183"/>
      <c r="E1290" s="183"/>
      <c r="F1290" s="183"/>
      <c r="G1290" s="183"/>
      <c r="H1290" s="183"/>
      <c r="I1290" s="183"/>
      <c r="J1290" s="183"/>
    </row>
    <row r="1291" spans="3:10" x14ac:dyDescent="0.25">
      <c r="C1291" s="183"/>
      <c r="D1291" s="183"/>
      <c r="E1291" s="183"/>
      <c r="F1291" s="183"/>
      <c r="G1291" s="183"/>
      <c r="H1291" s="183"/>
      <c r="I1291" s="183"/>
      <c r="J1291" s="183"/>
    </row>
    <row r="1292" spans="3:10" x14ac:dyDescent="0.25">
      <c r="C1292" s="183"/>
      <c r="D1292" s="183"/>
      <c r="E1292" s="183"/>
      <c r="F1292" s="183"/>
      <c r="G1292" s="183"/>
      <c r="H1292" s="183"/>
      <c r="I1292" s="183"/>
      <c r="J1292" s="183"/>
    </row>
    <row r="1293" spans="3:10" x14ac:dyDescent="0.25">
      <c r="C1293" s="183"/>
      <c r="D1293" s="183"/>
      <c r="E1293" s="183"/>
      <c r="F1293" s="183"/>
      <c r="G1293" s="183"/>
      <c r="H1293" s="183"/>
      <c r="I1293" s="183"/>
      <c r="J1293" s="183"/>
    </row>
    <row r="1294" spans="3:10" x14ac:dyDescent="0.25">
      <c r="C1294" s="183"/>
      <c r="D1294" s="183"/>
      <c r="E1294" s="183"/>
      <c r="F1294" s="183"/>
      <c r="G1294" s="183"/>
      <c r="H1294" s="183"/>
      <c r="I1294" s="183"/>
      <c r="J1294" s="183"/>
    </row>
    <row r="1295" spans="3:10" x14ac:dyDescent="0.25">
      <c r="C1295" s="183"/>
      <c r="D1295" s="183"/>
      <c r="E1295" s="183"/>
      <c r="F1295" s="183"/>
      <c r="G1295" s="183"/>
      <c r="H1295" s="183"/>
      <c r="I1295" s="183"/>
      <c r="J1295" s="183"/>
    </row>
    <row r="1296" spans="3:10" x14ac:dyDescent="0.25">
      <c r="C1296" s="183"/>
      <c r="D1296" s="183"/>
      <c r="E1296" s="183"/>
      <c r="F1296" s="183"/>
      <c r="G1296" s="183"/>
      <c r="H1296" s="183"/>
      <c r="I1296" s="183"/>
      <c r="J1296" s="183"/>
    </row>
    <row r="1297" spans="3:10" x14ac:dyDescent="0.25">
      <c r="C1297" s="183"/>
      <c r="D1297" s="183"/>
      <c r="E1297" s="183"/>
      <c r="F1297" s="183"/>
      <c r="G1297" s="183"/>
      <c r="H1297" s="183"/>
      <c r="I1297" s="183"/>
      <c r="J1297" s="183"/>
    </row>
    <row r="1298" spans="3:10" x14ac:dyDescent="0.25">
      <c r="C1298" s="183"/>
      <c r="D1298" s="183"/>
      <c r="E1298" s="183"/>
      <c r="F1298" s="183"/>
      <c r="G1298" s="183"/>
      <c r="H1298" s="183"/>
      <c r="I1298" s="183"/>
      <c r="J1298" s="183"/>
    </row>
    <row r="1299" spans="3:10" x14ac:dyDescent="0.25">
      <c r="C1299" s="183"/>
      <c r="D1299" s="183"/>
      <c r="E1299" s="183"/>
      <c r="F1299" s="183"/>
      <c r="G1299" s="183"/>
      <c r="H1299" s="183"/>
      <c r="I1299" s="183"/>
      <c r="J1299" s="183"/>
    </row>
    <row r="1300" spans="3:10" x14ac:dyDescent="0.25">
      <c r="C1300" s="183"/>
      <c r="D1300" s="183"/>
      <c r="E1300" s="183"/>
      <c r="F1300" s="183"/>
      <c r="G1300" s="183"/>
      <c r="H1300" s="183"/>
      <c r="I1300" s="183"/>
      <c r="J1300" s="183"/>
    </row>
    <row r="1301" spans="3:10" x14ac:dyDescent="0.25">
      <c r="C1301" s="183"/>
      <c r="D1301" s="183"/>
      <c r="E1301" s="183"/>
      <c r="F1301" s="183"/>
      <c r="G1301" s="183"/>
      <c r="H1301" s="183"/>
      <c r="I1301" s="183"/>
      <c r="J1301" s="183"/>
    </row>
    <row r="1302" spans="3:10" x14ac:dyDescent="0.25">
      <c r="C1302" s="183"/>
      <c r="D1302" s="183"/>
      <c r="E1302" s="183"/>
      <c r="F1302" s="183"/>
      <c r="G1302" s="183"/>
      <c r="H1302" s="183"/>
      <c r="I1302" s="183"/>
      <c r="J1302" s="183"/>
    </row>
    <row r="1303" spans="3:10" x14ac:dyDescent="0.25">
      <c r="C1303" s="183"/>
      <c r="D1303" s="183"/>
      <c r="E1303" s="183"/>
      <c r="F1303" s="183"/>
      <c r="G1303" s="183"/>
      <c r="H1303" s="183"/>
      <c r="I1303" s="183"/>
      <c r="J1303" s="183"/>
    </row>
    <row r="1304" spans="3:10" x14ac:dyDescent="0.25">
      <c r="C1304" s="183"/>
      <c r="D1304" s="183"/>
      <c r="E1304" s="183"/>
      <c r="F1304" s="183"/>
      <c r="G1304" s="183"/>
      <c r="H1304" s="183"/>
      <c r="I1304" s="183"/>
      <c r="J1304" s="183"/>
    </row>
    <row r="1305" spans="3:10" x14ac:dyDescent="0.25">
      <c r="C1305" s="183"/>
      <c r="D1305" s="183"/>
      <c r="E1305" s="183"/>
      <c r="F1305" s="183"/>
      <c r="G1305" s="183"/>
      <c r="H1305" s="183"/>
      <c r="I1305" s="183"/>
      <c r="J1305" s="183"/>
    </row>
    <row r="1306" spans="3:10" x14ac:dyDescent="0.25">
      <c r="C1306" s="183"/>
      <c r="D1306" s="183"/>
      <c r="E1306" s="183"/>
      <c r="F1306" s="183"/>
      <c r="G1306" s="183"/>
      <c r="H1306" s="183"/>
      <c r="I1306" s="183"/>
      <c r="J1306" s="183"/>
    </row>
    <row r="1307" spans="3:10" x14ac:dyDescent="0.25">
      <c r="C1307" s="183"/>
      <c r="D1307" s="183"/>
      <c r="E1307" s="183"/>
      <c r="F1307" s="183"/>
      <c r="G1307" s="183"/>
      <c r="H1307" s="183"/>
      <c r="I1307" s="183"/>
      <c r="J1307" s="183"/>
    </row>
    <row r="1308" spans="3:10" x14ac:dyDescent="0.25">
      <c r="C1308" s="183"/>
      <c r="D1308" s="183"/>
      <c r="E1308" s="183"/>
      <c r="F1308" s="183"/>
      <c r="G1308" s="183"/>
      <c r="H1308" s="183"/>
      <c r="I1308" s="183"/>
      <c r="J1308" s="183"/>
    </row>
    <row r="1309" spans="3:10" x14ac:dyDescent="0.25">
      <c r="C1309" s="183"/>
      <c r="D1309" s="183"/>
      <c r="E1309" s="183"/>
      <c r="F1309" s="183"/>
      <c r="G1309" s="183"/>
      <c r="H1309" s="183"/>
      <c r="I1309" s="183"/>
      <c r="J1309" s="183"/>
    </row>
    <row r="1310" spans="3:10" x14ac:dyDescent="0.25">
      <c r="C1310" s="183"/>
      <c r="D1310" s="183"/>
      <c r="E1310" s="183"/>
      <c r="F1310" s="183"/>
      <c r="G1310" s="183"/>
      <c r="H1310" s="183"/>
      <c r="I1310" s="183"/>
      <c r="J1310" s="183"/>
    </row>
    <row r="1311" spans="3:10" x14ac:dyDescent="0.25">
      <c r="C1311" s="183"/>
      <c r="D1311" s="183"/>
      <c r="E1311" s="183"/>
      <c r="F1311" s="183"/>
      <c r="G1311" s="183"/>
      <c r="H1311" s="183"/>
      <c r="I1311" s="183"/>
      <c r="J1311" s="183"/>
    </row>
    <row r="1312" spans="3:10" x14ac:dyDescent="0.25">
      <c r="C1312" s="183"/>
      <c r="D1312" s="183"/>
      <c r="E1312" s="183"/>
      <c r="F1312" s="183"/>
      <c r="G1312" s="183"/>
      <c r="H1312" s="183"/>
      <c r="I1312" s="183"/>
      <c r="J1312" s="183"/>
    </row>
    <row r="1313" spans="3:10" x14ac:dyDescent="0.25">
      <c r="C1313" s="183"/>
      <c r="D1313" s="183"/>
      <c r="E1313" s="183"/>
      <c r="F1313" s="183"/>
      <c r="G1313" s="183"/>
      <c r="H1313" s="183"/>
      <c r="I1313" s="183"/>
      <c r="J1313" s="183"/>
    </row>
    <row r="1314" spans="3:10" x14ac:dyDescent="0.25">
      <c r="C1314" s="183"/>
      <c r="D1314" s="183"/>
      <c r="E1314" s="183"/>
      <c r="F1314" s="183"/>
      <c r="G1314" s="183"/>
      <c r="H1314" s="183"/>
      <c r="I1314" s="183"/>
      <c r="J1314" s="183"/>
    </row>
    <row r="1315" spans="3:10" x14ac:dyDescent="0.25">
      <c r="C1315" s="183"/>
      <c r="D1315" s="183"/>
      <c r="E1315" s="183"/>
      <c r="F1315" s="183"/>
      <c r="G1315" s="183"/>
      <c r="H1315" s="183"/>
      <c r="I1315" s="183"/>
      <c r="J1315" s="183"/>
    </row>
    <row r="1316" spans="3:10" x14ac:dyDescent="0.25">
      <c r="C1316" s="183"/>
      <c r="D1316" s="183"/>
      <c r="E1316" s="183"/>
      <c r="F1316" s="183"/>
      <c r="G1316" s="183"/>
      <c r="H1316" s="183"/>
      <c r="I1316" s="183"/>
      <c r="J1316" s="183"/>
    </row>
    <row r="1317" spans="3:10" x14ac:dyDescent="0.25">
      <c r="C1317" s="183"/>
      <c r="D1317" s="183"/>
      <c r="E1317" s="183"/>
      <c r="F1317" s="183"/>
      <c r="G1317" s="183"/>
      <c r="H1317" s="183"/>
      <c r="I1317" s="183"/>
      <c r="J1317" s="183"/>
    </row>
    <row r="1318" spans="3:10" x14ac:dyDescent="0.25">
      <c r="C1318" s="183"/>
      <c r="D1318" s="183"/>
      <c r="E1318" s="183"/>
      <c r="F1318" s="183"/>
      <c r="G1318" s="183"/>
      <c r="H1318" s="183"/>
      <c r="I1318" s="183"/>
      <c r="J1318" s="183"/>
    </row>
    <row r="1319" spans="3:10" x14ac:dyDescent="0.25">
      <c r="C1319" s="183"/>
      <c r="D1319" s="183"/>
      <c r="E1319" s="183"/>
      <c r="F1319" s="183"/>
      <c r="G1319" s="183"/>
      <c r="H1319" s="183"/>
      <c r="I1319" s="183"/>
      <c r="J1319" s="183"/>
    </row>
    <row r="1320" spans="3:10" x14ac:dyDescent="0.25">
      <c r="C1320" s="183"/>
      <c r="D1320" s="183"/>
      <c r="E1320" s="183"/>
      <c r="F1320" s="183"/>
      <c r="G1320" s="183"/>
      <c r="H1320" s="183"/>
      <c r="I1320" s="183"/>
      <c r="J1320" s="183"/>
    </row>
    <row r="1321" spans="3:10" x14ac:dyDescent="0.25">
      <c r="C1321" s="183"/>
      <c r="D1321" s="183"/>
      <c r="E1321" s="183"/>
      <c r="F1321" s="183"/>
      <c r="G1321" s="183"/>
      <c r="H1321" s="183"/>
      <c r="I1321" s="183"/>
      <c r="J1321" s="183"/>
    </row>
    <row r="1322" spans="3:10" x14ac:dyDescent="0.25">
      <c r="C1322" s="183"/>
      <c r="D1322" s="183"/>
      <c r="E1322" s="183"/>
      <c r="F1322" s="183"/>
      <c r="G1322" s="183"/>
      <c r="H1322" s="183"/>
      <c r="I1322" s="183"/>
      <c r="J1322" s="183"/>
    </row>
    <row r="1323" spans="3:10" x14ac:dyDescent="0.25">
      <c r="C1323" s="183"/>
      <c r="D1323" s="183"/>
      <c r="E1323" s="183"/>
      <c r="F1323" s="183"/>
      <c r="G1323" s="183"/>
      <c r="H1323" s="183"/>
      <c r="I1323" s="183"/>
      <c r="J1323" s="183"/>
    </row>
    <row r="1324" spans="3:10" x14ac:dyDescent="0.25">
      <c r="C1324" s="183"/>
      <c r="D1324" s="183"/>
      <c r="E1324" s="183"/>
      <c r="F1324" s="183"/>
      <c r="G1324" s="183"/>
      <c r="H1324" s="183"/>
      <c r="I1324" s="183"/>
      <c r="J1324" s="183"/>
    </row>
    <row r="1325" spans="3:10" x14ac:dyDescent="0.25">
      <c r="C1325" s="183"/>
      <c r="D1325" s="183"/>
      <c r="E1325" s="183"/>
      <c r="F1325" s="183"/>
      <c r="G1325" s="183"/>
      <c r="H1325" s="183"/>
      <c r="I1325" s="183"/>
      <c r="J1325" s="183"/>
    </row>
    <row r="1326" spans="3:10" x14ac:dyDescent="0.25">
      <c r="C1326" s="183"/>
      <c r="D1326" s="183"/>
      <c r="E1326" s="183"/>
      <c r="F1326" s="183"/>
      <c r="G1326" s="183"/>
      <c r="H1326" s="183"/>
      <c r="I1326" s="183"/>
      <c r="J1326" s="183"/>
    </row>
    <row r="1327" spans="3:10" x14ac:dyDescent="0.25">
      <c r="C1327" s="183"/>
      <c r="D1327" s="183"/>
      <c r="E1327" s="183"/>
      <c r="F1327" s="183"/>
      <c r="G1327" s="183"/>
      <c r="H1327" s="183"/>
      <c r="I1327" s="183"/>
      <c r="J1327" s="183"/>
    </row>
    <row r="1328" spans="3:10" x14ac:dyDescent="0.25">
      <c r="C1328" s="183"/>
      <c r="D1328" s="183"/>
      <c r="E1328" s="183"/>
      <c r="F1328" s="183"/>
      <c r="G1328" s="183"/>
      <c r="H1328" s="183"/>
      <c r="I1328" s="183"/>
      <c r="J1328" s="183"/>
    </row>
    <row r="1329" spans="3:10" x14ac:dyDescent="0.25">
      <c r="C1329" s="183"/>
      <c r="D1329" s="183"/>
      <c r="E1329" s="183"/>
      <c r="F1329" s="183"/>
      <c r="G1329" s="183"/>
      <c r="H1329" s="183"/>
      <c r="I1329" s="183"/>
      <c r="J1329" s="183"/>
    </row>
    <row r="1330" spans="3:10" x14ac:dyDescent="0.25">
      <c r="C1330" s="183"/>
      <c r="D1330" s="183"/>
      <c r="E1330" s="183"/>
      <c r="F1330" s="183"/>
      <c r="G1330" s="183"/>
      <c r="H1330" s="183"/>
      <c r="I1330" s="183"/>
      <c r="J1330" s="183"/>
    </row>
    <row r="1331" spans="3:10" x14ac:dyDescent="0.25">
      <c r="C1331" s="183"/>
      <c r="D1331" s="183"/>
      <c r="E1331" s="183"/>
      <c r="F1331" s="183"/>
      <c r="G1331" s="183"/>
      <c r="H1331" s="183"/>
      <c r="I1331" s="183"/>
      <c r="J1331" s="183"/>
    </row>
    <row r="1332" spans="3:10" x14ac:dyDescent="0.25">
      <c r="C1332" s="183"/>
      <c r="D1332" s="183"/>
      <c r="E1332" s="183"/>
      <c r="F1332" s="183"/>
      <c r="G1332" s="183"/>
      <c r="H1332" s="183"/>
      <c r="I1332" s="183"/>
      <c r="J1332" s="183"/>
    </row>
    <row r="1333" spans="3:10" x14ac:dyDescent="0.25">
      <c r="C1333" s="183"/>
      <c r="D1333" s="183"/>
      <c r="E1333" s="183"/>
      <c r="F1333" s="183"/>
      <c r="G1333" s="183"/>
      <c r="H1333" s="183"/>
      <c r="I1333" s="183"/>
      <c r="J1333" s="183"/>
    </row>
    <row r="1334" spans="3:10" x14ac:dyDescent="0.25">
      <c r="C1334" s="183"/>
      <c r="D1334" s="183"/>
      <c r="E1334" s="183"/>
      <c r="F1334" s="183"/>
      <c r="G1334" s="183"/>
      <c r="H1334" s="183"/>
      <c r="I1334" s="183"/>
      <c r="J1334" s="183"/>
    </row>
    <row r="1335" spans="3:10" x14ac:dyDescent="0.25">
      <c r="C1335" s="183"/>
      <c r="D1335" s="183"/>
      <c r="E1335" s="183"/>
      <c r="F1335" s="183"/>
      <c r="G1335" s="183"/>
      <c r="H1335" s="183"/>
      <c r="I1335" s="183"/>
      <c r="J1335" s="183"/>
    </row>
    <row r="1336" spans="3:10" x14ac:dyDescent="0.25">
      <c r="C1336" s="183"/>
      <c r="D1336" s="183"/>
      <c r="E1336" s="183"/>
      <c r="F1336" s="183"/>
      <c r="G1336" s="183"/>
      <c r="H1336" s="183"/>
      <c r="I1336" s="183"/>
      <c r="J1336" s="183"/>
    </row>
    <row r="1337" spans="3:10" x14ac:dyDescent="0.25">
      <c r="C1337" s="183"/>
      <c r="D1337" s="183"/>
      <c r="E1337" s="183"/>
      <c r="F1337" s="183"/>
      <c r="G1337" s="183"/>
      <c r="H1337" s="183"/>
      <c r="I1337" s="183"/>
      <c r="J1337" s="183"/>
    </row>
    <row r="1338" spans="3:10" x14ac:dyDescent="0.25">
      <c r="C1338" s="183"/>
      <c r="D1338" s="183"/>
      <c r="E1338" s="183"/>
      <c r="F1338" s="183"/>
      <c r="G1338" s="183"/>
      <c r="H1338" s="183"/>
      <c r="I1338" s="183"/>
      <c r="J1338" s="183"/>
    </row>
    <row r="1339" spans="3:10" x14ac:dyDescent="0.25">
      <c r="C1339" s="183"/>
      <c r="D1339" s="183"/>
      <c r="E1339" s="183"/>
      <c r="F1339" s="183"/>
      <c r="G1339" s="183"/>
      <c r="H1339" s="183"/>
      <c r="I1339" s="183"/>
      <c r="J1339" s="183"/>
    </row>
    <row r="1340" spans="3:10" x14ac:dyDescent="0.25">
      <c r="C1340" s="183"/>
      <c r="D1340" s="183"/>
      <c r="E1340" s="183"/>
      <c r="F1340" s="183"/>
      <c r="G1340" s="183"/>
      <c r="H1340" s="183"/>
      <c r="I1340" s="183"/>
      <c r="J1340" s="183"/>
    </row>
    <row r="1341" spans="3:10" x14ac:dyDescent="0.25">
      <c r="C1341" s="183"/>
      <c r="D1341" s="183"/>
      <c r="E1341" s="183"/>
      <c r="F1341" s="183"/>
      <c r="G1341" s="183"/>
      <c r="H1341" s="183"/>
      <c r="I1341" s="183"/>
      <c r="J1341" s="183"/>
    </row>
    <row r="1342" spans="3:10" x14ac:dyDescent="0.25">
      <c r="C1342" s="183"/>
      <c r="D1342" s="183"/>
      <c r="E1342" s="183"/>
      <c r="F1342" s="183"/>
      <c r="G1342" s="183"/>
      <c r="H1342" s="183"/>
      <c r="I1342" s="183"/>
      <c r="J1342" s="183"/>
    </row>
    <row r="1343" spans="3:10" x14ac:dyDescent="0.25">
      <c r="C1343" s="183"/>
      <c r="D1343" s="183"/>
      <c r="E1343" s="183"/>
      <c r="F1343" s="183"/>
      <c r="G1343" s="183"/>
      <c r="H1343" s="183"/>
      <c r="I1343" s="183"/>
      <c r="J1343" s="183"/>
    </row>
    <row r="1344" spans="3:10" x14ac:dyDescent="0.25">
      <c r="C1344" s="183"/>
      <c r="D1344" s="183"/>
      <c r="E1344" s="183"/>
      <c r="F1344" s="183"/>
      <c r="G1344" s="183"/>
      <c r="H1344" s="183"/>
      <c r="I1344" s="183"/>
      <c r="J1344" s="183"/>
    </row>
    <row r="1345" spans="3:10" x14ac:dyDescent="0.25">
      <c r="C1345" s="183"/>
      <c r="D1345" s="183"/>
      <c r="E1345" s="183"/>
      <c r="F1345" s="183"/>
      <c r="G1345" s="183"/>
      <c r="H1345" s="183"/>
      <c r="I1345" s="183"/>
      <c r="J1345" s="183"/>
    </row>
    <row r="1346" spans="3:10" x14ac:dyDescent="0.25">
      <c r="C1346" s="183"/>
      <c r="D1346" s="183"/>
      <c r="E1346" s="183"/>
      <c r="F1346" s="183"/>
      <c r="G1346" s="183"/>
      <c r="H1346" s="183"/>
      <c r="I1346" s="183"/>
      <c r="J1346" s="183"/>
    </row>
    <row r="1347" spans="3:10" x14ac:dyDescent="0.25">
      <c r="C1347" s="183"/>
      <c r="D1347" s="183"/>
      <c r="E1347" s="183"/>
      <c r="F1347" s="183"/>
      <c r="G1347" s="183"/>
      <c r="H1347" s="183"/>
      <c r="I1347" s="183"/>
      <c r="J1347" s="183"/>
    </row>
    <row r="1348" spans="3:10" x14ac:dyDescent="0.25">
      <c r="C1348" s="183"/>
      <c r="D1348" s="183"/>
      <c r="E1348" s="183"/>
      <c r="F1348" s="183"/>
      <c r="G1348" s="183"/>
      <c r="H1348" s="183"/>
      <c r="I1348" s="183"/>
      <c r="J1348" s="183"/>
    </row>
    <row r="1349" spans="3:10" x14ac:dyDescent="0.25">
      <c r="C1349" s="183"/>
      <c r="D1349" s="183"/>
      <c r="E1349" s="183"/>
      <c r="F1349" s="183"/>
      <c r="G1349" s="183"/>
      <c r="H1349" s="183"/>
      <c r="I1349" s="183"/>
      <c r="J1349" s="183"/>
    </row>
    <row r="1350" spans="3:10" x14ac:dyDescent="0.25">
      <c r="C1350" s="183"/>
      <c r="D1350" s="183"/>
      <c r="E1350" s="183"/>
      <c r="F1350" s="183"/>
      <c r="G1350" s="183"/>
      <c r="H1350" s="183"/>
      <c r="I1350" s="183"/>
      <c r="J1350" s="183"/>
    </row>
    <row r="1351" spans="3:10" x14ac:dyDescent="0.25">
      <c r="C1351" s="183"/>
      <c r="D1351" s="183"/>
      <c r="E1351" s="183"/>
      <c r="F1351" s="183"/>
      <c r="G1351" s="183"/>
      <c r="H1351" s="183"/>
      <c r="I1351" s="183"/>
      <c r="J1351" s="183"/>
    </row>
    <row r="1352" spans="3:10" x14ac:dyDescent="0.25">
      <c r="C1352" s="183"/>
      <c r="D1352" s="183"/>
      <c r="E1352" s="183"/>
      <c r="F1352" s="183"/>
      <c r="G1352" s="183"/>
      <c r="H1352" s="183"/>
      <c r="I1352" s="183"/>
      <c r="J1352" s="183"/>
    </row>
    <row r="1353" spans="3:10" x14ac:dyDescent="0.25">
      <c r="C1353" s="183"/>
      <c r="D1353" s="183"/>
      <c r="E1353" s="183"/>
      <c r="F1353" s="183"/>
      <c r="G1353" s="183"/>
      <c r="H1353" s="183"/>
      <c r="I1353" s="183"/>
      <c r="J1353" s="183"/>
    </row>
    <row r="1354" spans="3:10" x14ac:dyDescent="0.25">
      <c r="C1354" s="183"/>
      <c r="D1354" s="183"/>
      <c r="E1354" s="183"/>
      <c r="F1354" s="183"/>
      <c r="G1354" s="183"/>
      <c r="H1354" s="183"/>
      <c r="I1354" s="183"/>
      <c r="J1354" s="183"/>
    </row>
    <row r="1355" spans="3:10" x14ac:dyDescent="0.25">
      <c r="C1355" s="183"/>
      <c r="D1355" s="183"/>
      <c r="E1355" s="183"/>
      <c r="F1355" s="183"/>
      <c r="G1355" s="183"/>
      <c r="H1355" s="183"/>
      <c r="I1355" s="183"/>
      <c r="J1355" s="183"/>
    </row>
    <row r="1356" spans="3:10" x14ac:dyDescent="0.25">
      <c r="C1356" s="183"/>
      <c r="D1356" s="183"/>
      <c r="E1356" s="183"/>
      <c r="F1356" s="183"/>
      <c r="G1356" s="183"/>
      <c r="H1356" s="183"/>
      <c r="I1356" s="183"/>
      <c r="J1356" s="183"/>
    </row>
    <row r="1357" spans="3:10" x14ac:dyDescent="0.25">
      <c r="C1357" s="183"/>
      <c r="D1357" s="183"/>
      <c r="E1357" s="183"/>
      <c r="F1357" s="183"/>
      <c r="G1357" s="183"/>
      <c r="H1357" s="183"/>
      <c r="I1357" s="183"/>
      <c r="J1357" s="183"/>
    </row>
    <row r="1358" spans="3:10" x14ac:dyDescent="0.25">
      <c r="C1358" s="183"/>
      <c r="D1358" s="183"/>
      <c r="E1358" s="183"/>
      <c r="F1358" s="183"/>
      <c r="G1358" s="183"/>
      <c r="H1358" s="183"/>
      <c r="I1358" s="183"/>
      <c r="J1358" s="183"/>
    </row>
    <row r="1359" spans="3:10" x14ac:dyDescent="0.25">
      <c r="C1359" s="183"/>
      <c r="D1359" s="183"/>
      <c r="E1359" s="183"/>
      <c r="F1359" s="183"/>
      <c r="G1359" s="183"/>
      <c r="H1359" s="183"/>
      <c r="I1359" s="183"/>
      <c r="J1359" s="183"/>
    </row>
    <row r="1360" spans="3:10" x14ac:dyDescent="0.25">
      <c r="C1360" s="183"/>
      <c r="D1360" s="183"/>
      <c r="E1360" s="183"/>
      <c r="F1360" s="183"/>
      <c r="G1360" s="183"/>
      <c r="H1360" s="183"/>
      <c r="I1360" s="183"/>
      <c r="J1360" s="183"/>
    </row>
    <row r="1361" spans="3:10" x14ac:dyDescent="0.25">
      <c r="C1361" s="183"/>
      <c r="D1361" s="183"/>
      <c r="E1361" s="183"/>
      <c r="F1361" s="183"/>
      <c r="G1361" s="183"/>
      <c r="H1361" s="183"/>
      <c r="I1361" s="183"/>
      <c r="J1361" s="183"/>
    </row>
    <row r="1362" spans="3:10" x14ac:dyDescent="0.25">
      <c r="C1362" s="183"/>
      <c r="D1362" s="183"/>
      <c r="E1362" s="183"/>
      <c r="F1362" s="183"/>
      <c r="G1362" s="183"/>
      <c r="H1362" s="183"/>
      <c r="I1362" s="183"/>
      <c r="J1362" s="183"/>
    </row>
    <row r="1363" spans="3:10" x14ac:dyDescent="0.25">
      <c r="C1363" s="183"/>
      <c r="D1363" s="183"/>
      <c r="E1363" s="183"/>
      <c r="F1363" s="183"/>
      <c r="G1363" s="183"/>
      <c r="H1363" s="183"/>
      <c r="I1363" s="183"/>
      <c r="J1363" s="183"/>
    </row>
    <row r="1364" spans="3:10" x14ac:dyDescent="0.25">
      <c r="C1364" s="183"/>
      <c r="D1364" s="183"/>
      <c r="E1364" s="183"/>
      <c r="F1364" s="183"/>
      <c r="G1364" s="183"/>
      <c r="H1364" s="183"/>
      <c r="I1364" s="183"/>
      <c r="J1364" s="183"/>
    </row>
    <row r="1365" spans="3:10" x14ac:dyDescent="0.25">
      <c r="C1365" s="183"/>
      <c r="D1365" s="183"/>
      <c r="E1365" s="183"/>
      <c r="F1365" s="183"/>
      <c r="G1365" s="183"/>
      <c r="H1365" s="183"/>
      <c r="I1365" s="183"/>
      <c r="J1365" s="183"/>
    </row>
    <row r="1366" spans="3:10" x14ac:dyDescent="0.25">
      <c r="C1366" s="183"/>
      <c r="D1366" s="183"/>
      <c r="E1366" s="183"/>
      <c r="F1366" s="183"/>
      <c r="G1366" s="183"/>
      <c r="H1366" s="183"/>
      <c r="I1366" s="183"/>
      <c r="J1366" s="183"/>
    </row>
    <row r="1367" spans="3:10" x14ac:dyDescent="0.25">
      <c r="C1367" s="183"/>
      <c r="D1367" s="183"/>
      <c r="E1367" s="183"/>
      <c r="F1367" s="183"/>
      <c r="G1367" s="183"/>
      <c r="H1367" s="183"/>
      <c r="I1367" s="183"/>
      <c r="J1367" s="183"/>
    </row>
    <row r="1368" spans="3:10" x14ac:dyDescent="0.25">
      <c r="C1368" s="183"/>
      <c r="D1368" s="183"/>
      <c r="E1368" s="183"/>
      <c r="F1368" s="183"/>
      <c r="G1368" s="183"/>
      <c r="H1368" s="183"/>
      <c r="I1368" s="183"/>
      <c r="J1368" s="183"/>
    </row>
    <row r="1369" spans="3:10" x14ac:dyDescent="0.25">
      <c r="C1369" s="183"/>
      <c r="D1369" s="183"/>
      <c r="E1369" s="183"/>
      <c r="F1369" s="183"/>
      <c r="G1369" s="183"/>
      <c r="H1369" s="183"/>
      <c r="I1369" s="183"/>
      <c r="J1369" s="183"/>
    </row>
    <row r="1370" spans="3:10" x14ac:dyDescent="0.25">
      <c r="C1370" s="183"/>
      <c r="D1370" s="183"/>
      <c r="E1370" s="183"/>
      <c r="F1370" s="183"/>
      <c r="G1370" s="183"/>
      <c r="H1370" s="183"/>
      <c r="I1370" s="183"/>
      <c r="J1370" s="183"/>
    </row>
    <row r="1371" spans="3:10" x14ac:dyDescent="0.25">
      <c r="C1371" s="183"/>
      <c r="D1371" s="183"/>
      <c r="E1371" s="183"/>
      <c r="F1371" s="183"/>
      <c r="G1371" s="183"/>
      <c r="H1371" s="183"/>
      <c r="I1371" s="183"/>
      <c r="J1371" s="183"/>
    </row>
    <row r="1372" spans="3:10" x14ac:dyDescent="0.25">
      <c r="C1372" s="183"/>
      <c r="D1372" s="183"/>
      <c r="E1372" s="183"/>
      <c r="F1372" s="183"/>
      <c r="G1372" s="183"/>
      <c r="H1372" s="183"/>
      <c r="I1372" s="183"/>
      <c r="J1372" s="183"/>
    </row>
    <row r="1373" spans="3:10" x14ac:dyDescent="0.25">
      <c r="C1373" s="183"/>
      <c r="D1373" s="183"/>
      <c r="E1373" s="183"/>
      <c r="F1373" s="183"/>
      <c r="G1373" s="183"/>
      <c r="H1373" s="183"/>
      <c r="I1373" s="183"/>
      <c r="J1373" s="183"/>
    </row>
    <row r="1374" spans="3:10" x14ac:dyDescent="0.25">
      <c r="C1374" s="183"/>
      <c r="D1374" s="183"/>
      <c r="E1374" s="183"/>
      <c r="F1374" s="183"/>
      <c r="G1374" s="183"/>
      <c r="H1374" s="183"/>
      <c r="I1374" s="183"/>
      <c r="J1374" s="183"/>
    </row>
    <row r="1375" spans="3:10" x14ac:dyDescent="0.25">
      <c r="C1375" s="183"/>
      <c r="D1375" s="183"/>
      <c r="E1375" s="183"/>
      <c r="F1375" s="183"/>
      <c r="G1375" s="183"/>
      <c r="H1375" s="183"/>
      <c r="I1375" s="183"/>
      <c r="J1375" s="183"/>
    </row>
    <row r="1376" spans="3:10" x14ac:dyDescent="0.25">
      <c r="C1376" s="183"/>
      <c r="D1376" s="183"/>
      <c r="E1376" s="183"/>
      <c r="F1376" s="183"/>
      <c r="G1376" s="183"/>
      <c r="H1376" s="183"/>
      <c r="I1376" s="183"/>
      <c r="J1376" s="183"/>
    </row>
    <row r="1377" spans="3:10" x14ac:dyDescent="0.25">
      <c r="C1377" s="183"/>
      <c r="D1377" s="183"/>
      <c r="E1377" s="183"/>
      <c r="F1377" s="183"/>
      <c r="G1377" s="183"/>
      <c r="H1377" s="183"/>
      <c r="I1377" s="183"/>
      <c r="J1377" s="183"/>
    </row>
    <row r="1378" spans="3:10" x14ac:dyDescent="0.25">
      <c r="C1378" s="183"/>
      <c r="D1378" s="183"/>
      <c r="E1378" s="183"/>
      <c r="F1378" s="183"/>
      <c r="G1378" s="183"/>
      <c r="H1378" s="183"/>
      <c r="I1378" s="183"/>
      <c r="J1378" s="183"/>
    </row>
    <row r="1379" spans="3:10" x14ac:dyDescent="0.25">
      <c r="C1379" s="183"/>
      <c r="D1379" s="183"/>
      <c r="E1379" s="183"/>
      <c r="F1379" s="183"/>
      <c r="G1379" s="183"/>
      <c r="H1379" s="183"/>
      <c r="I1379" s="183"/>
      <c r="J1379" s="183"/>
    </row>
    <row r="1380" spans="3:10" x14ac:dyDescent="0.25">
      <c r="C1380" s="183"/>
      <c r="D1380" s="183"/>
      <c r="E1380" s="183"/>
      <c r="F1380" s="183"/>
      <c r="G1380" s="183"/>
      <c r="H1380" s="183"/>
      <c r="I1380" s="183"/>
      <c r="J1380" s="183"/>
    </row>
    <row r="1381" spans="3:10" x14ac:dyDescent="0.25">
      <c r="C1381" s="183"/>
      <c r="D1381" s="183"/>
      <c r="E1381" s="183"/>
      <c r="F1381" s="183"/>
      <c r="G1381" s="183"/>
      <c r="H1381" s="183"/>
      <c r="I1381" s="183"/>
      <c r="J1381" s="183"/>
    </row>
    <row r="1382" spans="3:10" x14ac:dyDescent="0.25">
      <c r="C1382" s="183"/>
      <c r="D1382" s="183"/>
      <c r="E1382" s="183"/>
      <c r="F1382" s="183"/>
      <c r="G1382" s="183"/>
      <c r="H1382" s="183"/>
      <c r="I1382" s="183"/>
      <c r="J1382" s="183"/>
    </row>
    <row r="1383" spans="3:10" x14ac:dyDescent="0.25">
      <c r="C1383" s="183"/>
      <c r="D1383" s="183"/>
      <c r="E1383" s="183"/>
      <c r="F1383" s="183"/>
      <c r="G1383" s="183"/>
      <c r="H1383" s="183"/>
      <c r="I1383" s="183"/>
      <c r="J1383" s="183"/>
    </row>
    <row r="1384" spans="3:10" x14ac:dyDescent="0.25">
      <c r="C1384" s="183"/>
      <c r="D1384" s="183"/>
      <c r="E1384" s="183"/>
      <c r="F1384" s="183"/>
      <c r="G1384" s="183"/>
      <c r="H1384" s="183"/>
      <c r="I1384" s="183"/>
      <c r="J1384" s="183"/>
    </row>
    <row r="1385" spans="3:10" x14ac:dyDescent="0.25">
      <c r="C1385" s="183"/>
      <c r="D1385" s="183"/>
      <c r="E1385" s="183"/>
      <c r="F1385" s="183"/>
      <c r="G1385" s="183"/>
      <c r="H1385" s="183"/>
      <c r="I1385" s="183"/>
      <c r="J1385" s="183"/>
    </row>
    <row r="1386" spans="3:10" x14ac:dyDescent="0.25">
      <c r="C1386" s="183"/>
      <c r="D1386" s="183"/>
      <c r="E1386" s="183"/>
      <c r="F1386" s="183"/>
      <c r="G1386" s="183"/>
      <c r="H1386" s="183"/>
      <c r="I1386" s="183"/>
      <c r="J1386" s="183"/>
    </row>
    <row r="1387" spans="3:10" x14ac:dyDescent="0.25">
      <c r="C1387" s="183"/>
      <c r="D1387" s="183"/>
      <c r="E1387" s="183"/>
      <c r="F1387" s="183"/>
      <c r="G1387" s="183"/>
      <c r="H1387" s="183"/>
      <c r="I1387" s="183"/>
      <c r="J1387" s="183"/>
    </row>
    <row r="1388" spans="3:10" x14ac:dyDescent="0.25">
      <c r="C1388" s="183"/>
      <c r="D1388" s="183"/>
      <c r="E1388" s="183"/>
      <c r="F1388" s="183"/>
      <c r="G1388" s="183"/>
      <c r="H1388" s="183"/>
      <c r="I1388" s="183"/>
      <c r="J1388" s="183"/>
    </row>
    <row r="1389" spans="3:10" x14ac:dyDescent="0.25">
      <c r="C1389" s="183"/>
      <c r="D1389" s="183"/>
      <c r="E1389" s="183"/>
      <c r="F1389" s="183"/>
      <c r="G1389" s="183"/>
      <c r="H1389" s="183"/>
      <c r="I1389" s="183"/>
      <c r="J1389" s="183"/>
    </row>
    <row r="1390" spans="3:10" x14ac:dyDescent="0.25">
      <c r="C1390" s="183"/>
      <c r="D1390" s="183"/>
      <c r="E1390" s="183"/>
      <c r="F1390" s="183"/>
      <c r="G1390" s="183"/>
      <c r="H1390" s="183"/>
      <c r="I1390" s="183"/>
      <c r="J1390" s="183"/>
    </row>
    <row r="1391" spans="3:10" x14ac:dyDescent="0.25">
      <c r="C1391" s="183"/>
      <c r="D1391" s="183"/>
      <c r="E1391" s="183"/>
      <c r="F1391" s="183"/>
      <c r="G1391" s="183"/>
      <c r="H1391" s="183"/>
      <c r="I1391" s="183"/>
      <c r="J1391" s="183"/>
    </row>
    <row r="1392" spans="3:10" x14ac:dyDescent="0.25">
      <c r="C1392" s="183"/>
      <c r="D1392" s="183"/>
      <c r="E1392" s="183"/>
      <c r="F1392" s="183"/>
      <c r="G1392" s="183"/>
      <c r="H1392" s="183"/>
      <c r="I1392" s="183"/>
      <c r="J1392" s="183"/>
    </row>
    <row r="1393" spans="3:10" x14ac:dyDescent="0.25">
      <c r="C1393" s="183"/>
      <c r="D1393" s="183"/>
      <c r="E1393" s="183"/>
      <c r="F1393" s="183"/>
      <c r="G1393" s="183"/>
      <c r="H1393" s="183"/>
      <c r="I1393" s="183"/>
      <c r="J1393" s="183"/>
    </row>
    <row r="1394" spans="3:10" x14ac:dyDescent="0.25">
      <c r="C1394" s="183"/>
      <c r="D1394" s="183"/>
      <c r="E1394" s="183"/>
      <c r="F1394" s="183"/>
      <c r="G1394" s="183"/>
      <c r="H1394" s="183"/>
      <c r="I1394" s="183"/>
      <c r="J1394" s="183"/>
    </row>
    <row r="1395" spans="3:10" x14ac:dyDescent="0.25">
      <c r="C1395" s="183"/>
      <c r="D1395" s="183"/>
      <c r="E1395" s="183"/>
      <c r="F1395" s="183"/>
      <c r="G1395" s="183"/>
      <c r="H1395" s="183"/>
      <c r="I1395" s="183"/>
      <c r="J1395" s="183"/>
    </row>
    <row r="1396" spans="3:10" x14ac:dyDescent="0.25">
      <c r="C1396" s="183"/>
      <c r="D1396" s="183"/>
      <c r="E1396" s="183"/>
      <c r="F1396" s="183"/>
      <c r="G1396" s="183"/>
      <c r="H1396" s="183"/>
      <c r="I1396" s="183"/>
      <c r="J1396" s="183"/>
    </row>
    <row r="1397" spans="3:10" x14ac:dyDescent="0.25">
      <c r="C1397" s="183"/>
      <c r="D1397" s="183"/>
      <c r="E1397" s="183"/>
      <c r="F1397" s="183"/>
      <c r="G1397" s="183"/>
      <c r="H1397" s="183"/>
      <c r="I1397" s="183"/>
      <c r="J1397" s="183"/>
    </row>
    <row r="1398" spans="3:10" x14ac:dyDescent="0.25">
      <c r="C1398" s="183"/>
      <c r="D1398" s="183"/>
      <c r="E1398" s="183"/>
      <c r="F1398" s="183"/>
      <c r="G1398" s="183"/>
      <c r="H1398" s="183"/>
      <c r="I1398" s="183"/>
      <c r="J1398" s="183"/>
    </row>
    <row r="1399" spans="3:10" x14ac:dyDescent="0.25">
      <c r="C1399" s="183"/>
      <c r="D1399" s="183"/>
      <c r="E1399" s="183"/>
      <c r="F1399" s="183"/>
      <c r="G1399" s="183"/>
      <c r="H1399" s="183"/>
      <c r="I1399" s="183"/>
      <c r="J1399" s="183"/>
    </row>
    <row r="1400" spans="3:10" x14ac:dyDescent="0.25">
      <c r="C1400" s="183"/>
      <c r="D1400" s="183"/>
      <c r="E1400" s="183"/>
      <c r="F1400" s="183"/>
      <c r="G1400" s="183"/>
      <c r="H1400" s="183"/>
      <c r="I1400" s="183"/>
      <c r="J1400" s="183"/>
    </row>
    <row r="1401" spans="3:10" x14ac:dyDescent="0.25">
      <c r="C1401" s="183"/>
      <c r="D1401" s="183"/>
      <c r="E1401" s="183"/>
      <c r="F1401" s="183"/>
      <c r="G1401" s="183"/>
      <c r="H1401" s="183"/>
      <c r="I1401" s="183"/>
      <c r="J1401" s="183"/>
    </row>
    <row r="1402" spans="3:10" x14ac:dyDescent="0.25">
      <c r="C1402" s="183"/>
      <c r="D1402" s="183"/>
      <c r="E1402" s="183"/>
      <c r="F1402" s="183"/>
      <c r="G1402" s="183"/>
      <c r="H1402" s="183"/>
      <c r="I1402" s="183"/>
      <c r="J1402" s="183"/>
    </row>
    <row r="1403" spans="3:10" x14ac:dyDescent="0.25">
      <c r="C1403" s="183"/>
      <c r="D1403" s="183"/>
      <c r="E1403" s="183"/>
      <c r="F1403" s="183"/>
      <c r="G1403" s="183"/>
      <c r="H1403" s="183"/>
      <c r="I1403" s="183"/>
      <c r="J1403" s="183"/>
    </row>
    <row r="1404" spans="3:10" x14ac:dyDescent="0.25">
      <c r="C1404" s="183"/>
      <c r="D1404" s="183"/>
      <c r="E1404" s="183"/>
      <c r="F1404" s="183"/>
      <c r="G1404" s="183"/>
      <c r="H1404" s="183"/>
      <c r="I1404" s="183"/>
      <c r="J1404" s="183"/>
    </row>
    <row r="1405" spans="3:10" x14ac:dyDescent="0.25">
      <c r="C1405" s="183"/>
      <c r="D1405" s="183"/>
      <c r="E1405" s="183"/>
      <c r="F1405" s="183"/>
      <c r="G1405" s="183"/>
      <c r="H1405" s="183"/>
      <c r="I1405" s="183"/>
      <c r="J1405" s="183"/>
    </row>
    <row r="1406" spans="3:10" x14ac:dyDescent="0.25">
      <c r="C1406" s="183"/>
      <c r="D1406" s="183"/>
      <c r="E1406" s="183"/>
      <c r="F1406" s="183"/>
      <c r="G1406" s="183"/>
      <c r="H1406" s="183"/>
      <c r="I1406" s="183"/>
      <c r="J1406" s="183"/>
    </row>
    <row r="1407" spans="3:10" x14ac:dyDescent="0.25">
      <c r="C1407" s="183"/>
      <c r="D1407" s="183"/>
      <c r="E1407" s="183"/>
      <c r="F1407" s="183"/>
      <c r="G1407" s="183"/>
      <c r="H1407" s="183"/>
      <c r="I1407" s="183"/>
      <c r="J1407" s="183"/>
    </row>
    <row r="1408" spans="3:10" x14ac:dyDescent="0.25">
      <c r="C1408" s="183"/>
      <c r="D1408" s="183"/>
      <c r="E1408" s="183"/>
      <c r="F1408" s="183"/>
      <c r="G1408" s="183"/>
      <c r="H1408" s="183"/>
      <c r="I1408" s="183"/>
      <c r="J1408" s="183"/>
    </row>
    <row r="1409" spans="3:10" x14ac:dyDescent="0.25">
      <c r="C1409" s="183"/>
      <c r="D1409" s="183"/>
      <c r="E1409" s="183"/>
      <c r="F1409" s="183"/>
      <c r="G1409" s="183"/>
      <c r="H1409" s="183"/>
      <c r="I1409" s="183"/>
      <c r="J1409" s="183"/>
    </row>
    <row r="1410" spans="3:10" x14ac:dyDescent="0.25">
      <c r="C1410" s="183"/>
      <c r="D1410" s="183"/>
      <c r="E1410" s="183"/>
      <c r="F1410" s="183"/>
      <c r="G1410" s="183"/>
      <c r="H1410" s="183"/>
      <c r="I1410" s="183"/>
      <c r="J1410" s="183"/>
    </row>
    <row r="1411" spans="3:10" x14ac:dyDescent="0.25">
      <c r="C1411" s="183"/>
      <c r="D1411" s="183"/>
      <c r="E1411" s="183"/>
      <c r="F1411" s="183"/>
      <c r="G1411" s="183"/>
      <c r="H1411" s="183"/>
      <c r="I1411" s="183"/>
      <c r="J1411" s="183"/>
    </row>
    <row r="1412" spans="3:10" x14ac:dyDescent="0.25">
      <c r="C1412" s="183"/>
      <c r="D1412" s="183"/>
      <c r="E1412" s="183"/>
      <c r="F1412" s="183"/>
      <c r="G1412" s="183"/>
      <c r="H1412" s="183"/>
      <c r="I1412" s="183"/>
      <c r="J1412" s="183"/>
    </row>
    <row r="1413" spans="3:10" x14ac:dyDescent="0.25">
      <c r="C1413" s="183"/>
      <c r="D1413" s="183"/>
      <c r="E1413" s="183"/>
      <c r="F1413" s="183"/>
      <c r="G1413" s="183"/>
      <c r="H1413" s="183"/>
      <c r="I1413" s="183"/>
      <c r="J1413" s="183"/>
    </row>
    <row r="1414" spans="3:10" x14ac:dyDescent="0.25">
      <c r="C1414" s="183"/>
      <c r="D1414" s="183"/>
      <c r="E1414" s="183"/>
      <c r="F1414" s="183"/>
      <c r="G1414" s="183"/>
      <c r="H1414" s="183"/>
      <c r="I1414" s="183"/>
      <c r="J1414" s="183"/>
    </row>
    <row r="1415" spans="3:10" x14ac:dyDescent="0.25">
      <c r="C1415" s="183"/>
      <c r="D1415" s="183"/>
      <c r="E1415" s="183"/>
      <c r="F1415" s="183"/>
      <c r="G1415" s="183"/>
      <c r="H1415" s="183"/>
      <c r="I1415" s="183"/>
      <c r="J1415" s="183"/>
    </row>
    <row r="1416" spans="3:10" x14ac:dyDescent="0.25">
      <c r="C1416" s="183"/>
      <c r="D1416" s="183"/>
      <c r="E1416" s="183"/>
      <c r="F1416" s="183"/>
      <c r="G1416" s="183"/>
      <c r="H1416" s="183"/>
      <c r="I1416" s="183"/>
      <c r="J1416" s="183"/>
    </row>
    <row r="1417" spans="3:10" x14ac:dyDescent="0.25">
      <c r="C1417" s="183"/>
      <c r="D1417" s="183"/>
      <c r="E1417" s="183"/>
      <c r="F1417" s="183"/>
      <c r="G1417" s="183"/>
      <c r="H1417" s="183"/>
      <c r="I1417" s="183"/>
      <c r="J1417" s="183"/>
    </row>
    <row r="1418" spans="3:10" x14ac:dyDescent="0.25">
      <c r="C1418" s="183"/>
      <c r="D1418" s="183"/>
      <c r="E1418" s="183"/>
      <c r="F1418" s="183"/>
      <c r="G1418" s="183"/>
      <c r="H1418" s="183"/>
      <c r="I1418" s="183"/>
      <c r="J1418" s="183"/>
    </row>
    <row r="1419" spans="3:10" x14ac:dyDescent="0.25">
      <c r="C1419" s="183"/>
      <c r="D1419" s="183"/>
      <c r="E1419" s="183"/>
      <c r="F1419" s="183"/>
      <c r="G1419" s="183"/>
      <c r="H1419" s="183"/>
      <c r="I1419" s="183"/>
      <c r="J1419" s="183"/>
    </row>
    <row r="1420" spans="3:10" x14ac:dyDescent="0.25">
      <c r="C1420" s="183"/>
      <c r="D1420" s="183"/>
      <c r="E1420" s="183"/>
      <c r="F1420" s="183"/>
      <c r="G1420" s="183"/>
      <c r="H1420" s="183"/>
      <c r="I1420" s="183"/>
      <c r="J1420" s="183"/>
    </row>
    <row r="1421" spans="3:10" x14ac:dyDescent="0.25">
      <c r="C1421" s="183"/>
      <c r="D1421" s="183"/>
      <c r="E1421" s="183"/>
      <c r="F1421" s="183"/>
      <c r="G1421" s="183"/>
      <c r="H1421" s="183"/>
      <c r="I1421" s="183"/>
      <c r="J1421" s="183"/>
    </row>
    <row r="1422" spans="3:10" x14ac:dyDescent="0.25">
      <c r="C1422" s="183"/>
      <c r="D1422" s="183"/>
      <c r="E1422" s="183"/>
      <c r="F1422" s="183"/>
      <c r="G1422" s="183"/>
      <c r="H1422" s="183"/>
      <c r="I1422" s="183"/>
      <c r="J1422" s="183"/>
    </row>
    <row r="1423" spans="3:10" x14ac:dyDescent="0.25">
      <c r="C1423" s="183"/>
      <c r="D1423" s="183"/>
      <c r="E1423" s="183"/>
      <c r="F1423" s="183"/>
      <c r="G1423" s="183"/>
      <c r="H1423" s="183"/>
      <c r="I1423" s="183"/>
      <c r="J1423" s="183"/>
    </row>
    <row r="1424" spans="3:10" x14ac:dyDescent="0.25">
      <c r="C1424" s="183"/>
      <c r="D1424" s="183"/>
      <c r="E1424" s="183"/>
      <c r="F1424" s="183"/>
      <c r="G1424" s="183"/>
      <c r="H1424" s="183"/>
      <c r="I1424" s="183"/>
      <c r="J1424" s="183"/>
    </row>
    <row r="1425" spans="3:10" x14ac:dyDescent="0.25">
      <c r="C1425" s="183"/>
      <c r="D1425" s="183"/>
      <c r="E1425" s="183"/>
      <c r="F1425" s="183"/>
      <c r="G1425" s="183"/>
      <c r="H1425" s="183"/>
      <c r="I1425" s="183"/>
      <c r="J1425" s="183"/>
    </row>
    <row r="1426" spans="3:10" x14ac:dyDescent="0.25">
      <c r="C1426" s="183"/>
      <c r="D1426" s="183"/>
      <c r="E1426" s="183"/>
      <c r="F1426" s="183"/>
      <c r="G1426" s="183"/>
      <c r="H1426" s="183"/>
      <c r="I1426" s="183"/>
      <c r="J1426" s="183"/>
    </row>
    <row r="1427" spans="3:10" x14ac:dyDescent="0.25">
      <c r="C1427" s="183"/>
      <c r="D1427" s="183"/>
      <c r="E1427" s="183"/>
      <c r="F1427" s="183"/>
      <c r="G1427" s="183"/>
      <c r="H1427" s="183"/>
      <c r="I1427" s="183"/>
      <c r="J1427" s="183"/>
    </row>
    <row r="1428" spans="3:10" x14ac:dyDescent="0.25">
      <c r="C1428" s="183"/>
      <c r="D1428" s="183"/>
      <c r="E1428" s="183"/>
      <c r="F1428" s="183"/>
      <c r="G1428" s="183"/>
      <c r="H1428" s="183"/>
      <c r="I1428" s="183"/>
      <c r="J1428" s="183"/>
    </row>
    <row r="1429" spans="3:10" x14ac:dyDescent="0.25">
      <c r="C1429" s="183"/>
      <c r="D1429" s="183"/>
      <c r="E1429" s="183"/>
      <c r="F1429" s="183"/>
      <c r="G1429" s="183"/>
      <c r="H1429" s="183"/>
      <c r="I1429" s="183"/>
      <c r="J1429" s="183"/>
    </row>
    <row r="1430" spans="3:10" x14ac:dyDescent="0.25">
      <c r="C1430" s="183"/>
      <c r="D1430" s="183"/>
      <c r="E1430" s="183"/>
      <c r="F1430" s="183"/>
      <c r="G1430" s="183"/>
      <c r="H1430" s="183"/>
      <c r="I1430" s="183"/>
      <c r="J1430" s="183"/>
    </row>
    <row r="1431" spans="3:10" x14ac:dyDescent="0.25">
      <c r="C1431" s="183"/>
      <c r="D1431" s="183"/>
      <c r="E1431" s="183"/>
      <c r="F1431" s="183"/>
      <c r="G1431" s="183"/>
      <c r="H1431" s="183"/>
      <c r="I1431" s="183"/>
      <c r="J1431" s="183"/>
    </row>
    <row r="1432" spans="3:10" x14ac:dyDescent="0.25">
      <c r="C1432" s="183"/>
      <c r="D1432" s="183"/>
      <c r="E1432" s="183"/>
      <c r="F1432" s="183"/>
      <c r="G1432" s="183"/>
      <c r="H1432" s="183"/>
      <c r="I1432" s="183"/>
      <c r="J1432" s="183"/>
    </row>
    <row r="1433" spans="3:10" x14ac:dyDescent="0.25">
      <c r="C1433" s="183"/>
      <c r="D1433" s="183"/>
      <c r="E1433" s="183"/>
      <c r="F1433" s="183"/>
      <c r="G1433" s="183"/>
      <c r="H1433" s="183"/>
      <c r="I1433" s="183"/>
      <c r="J1433" s="183"/>
    </row>
    <row r="1434" spans="3:10" x14ac:dyDescent="0.25">
      <c r="C1434" s="183"/>
      <c r="D1434" s="183"/>
      <c r="E1434" s="183"/>
      <c r="F1434" s="183"/>
      <c r="G1434" s="183"/>
      <c r="H1434" s="183"/>
      <c r="I1434" s="183"/>
      <c r="J1434" s="183"/>
    </row>
    <row r="1435" spans="3:10" x14ac:dyDescent="0.25">
      <c r="C1435" s="183"/>
      <c r="D1435" s="183"/>
      <c r="E1435" s="183"/>
      <c r="F1435" s="183"/>
      <c r="G1435" s="183"/>
      <c r="H1435" s="183"/>
      <c r="I1435" s="183"/>
      <c r="J1435" s="183"/>
    </row>
    <row r="1436" spans="3:10" x14ac:dyDescent="0.25">
      <c r="C1436" s="183"/>
      <c r="D1436" s="183"/>
      <c r="E1436" s="183"/>
      <c r="F1436" s="183"/>
      <c r="G1436" s="183"/>
      <c r="H1436" s="183"/>
      <c r="I1436" s="183"/>
      <c r="J1436" s="183"/>
    </row>
    <row r="1437" spans="3:10" x14ac:dyDescent="0.25">
      <c r="C1437" s="183"/>
      <c r="D1437" s="183"/>
      <c r="E1437" s="183"/>
      <c r="F1437" s="183"/>
      <c r="G1437" s="183"/>
      <c r="H1437" s="183"/>
      <c r="I1437" s="183"/>
      <c r="J1437" s="183"/>
    </row>
    <row r="1438" spans="3:10" x14ac:dyDescent="0.25">
      <c r="C1438" s="183"/>
      <c r="D1438" s="183"/>
      <c r="E1438" s="183"/>
      <c r="F1438" s="183"/>
      <c r="G1438" s="183"/>
      <c r="H1438" s="183"/>
      <c r="I1438" s="183"/>
      <c r="J1438" s="183"/>
    </row>
    <row r="1439" spans="3:10" x14ac:dyDescent="0.25">
      <c r="C1439" s="183"/>
      <c r="D1439" s="183"/>
      <c r="E1439" s="183"/>
      <c r="F1439" s="183"/>
      <c r="G1439" s="183"/>
      <c r="H1439" s="183"/>
      <c r="I1439" s="183"/>
      <c r="J1439" s="183"/>
    </row>
    <row r="1440" spans="3:10" x14ac:dyDescent="0.25">
      <c r="C1440" s="183"/>
      <c r="D1440" s="183"/>
      <c r="E1440" s="183"/>
      <c r="F1440" s="183"/>
      <c r="G1440" s="183"/>
      <c r="H1440" s="183"/>
      <c r="I1440" s="183"/>
      <c r="J1440" s="183"/>
    </row>
    <row r="1441" spans="3:10" x14ac:dyDescent="0.25">
      <c r="C1441" s="183"/>
      <c r="D1441" s="183"/>
      <c r="E1441" s="183"/>
      <c r="F1441" s="183"/>
      <c r="G1441" s="183"/>
      <c r="H1441" s="183"/>
      <c r="I1441" s="183"/>
      <c r="J1441" s="183"/>
    </row>
    <row r="1442" spans="3:10" x14ac:dyDescent="0.25">
      <c r="C1442" s="183"/>
      <c r="D1442" s="183"/>
      <c r="E1442" s="183"/>
      <c r="F1442" s="183"/>
      <c r="G1442" s="183"/>
      <c r="H1442" s="183"/>
      <c r="I1442" s="183"/>
      <c r="J1442" s="183"/>
    </row>
    <row r="1443" spans="3:10" x14ac:dyDescent="0.25">
      <c r="C1443" s="183"/>
      <c r="D1443" s="183"/>
      <c r="E1443" s="183"/>
      <c r="F1443" s="183"/>
      <c r="G1443" s="183"/>
      <c r="H1443" s="183"/>
      <c r="I1443" s="183"/>
      <c r="J1443" s="183"/>
    </row>
    <row r="1444" spans="3:10" x14ac:dyDescent="0.25">
      <c r="C1444" s="183"/>
      <c r="D1444" s="183"/>
      <c r="E1444" s="183"/>
      <c r="F1444" s="183"/>
      <c r="G1444" s="183"/>
      <c r="H1444" s="183"/>
      <c r="I1444" s="183"/>
      <c r="J1444" s="183"/>
    </row>
    <row r="1445" spans="3:10" x14ac:dyDescent="0.25">
      <c r="C1445" s="183"/>
      <c r="D1445" s="183"/>
      <c r="E1445" s="183"/>
      <c r="F1445" s="183"/>
      <c r="G1445" s="183"/>
      <c r="H1445" s="183"/>
      <c r="I1445" s="183"/>
      <c r="J1445" s="183"/>
    </row>
    <row r="1446" spans="3:10" x14ac:dyDescent="0.25">
      <c r="C1446" s="183"/>
      <c r="D1446" s="183"/>
      <c r="E1446" s="183"/>
      <c r="F1446" s="183"/>
      <c r="G1446" s="183"/>
      <c r="H1446" s="183"/>
      <c r="I1446" s="183"/>
      <c r="J1446" s="183"/>
    </row>
    <row r="1447" spans="3:10" x14ac:dyDescent="0.25">
      <c r="C1447" s="183"/>
      <c r="D1447" s="183"/>
      <c r="E1447" s="183"/>
      <c r="F1447" s="183"/>
      <c r="G1447" s="183"/>
      <c r="H1447" s="183"/>
      <c r="I1447" s="183"/>
      <c r="J1447" s="183"/>
    </row>
    <row r="1448" spans="3:10" x14ac:dyDescent="0.25">
      <c r="C1448" s="183"/>
      <c r="D1448" s="183"/>
      <c r="E1448" s="183"/>
      <c r="F1448" s="183"/>
      <c r="G1448" s="183"/>
      <c r="H1448" s="183"/>
      <c r="I1448" s="183"/>
      <c r="J1448" s="183"/>
    </row>
    <row r="1449" spans="3:10" x14ac:dyDescent="0.25">
      <c r="C1449" s="183"/>
      <c r="D1449" s="183"/>
      <c r="E1449" s="183"/>
      <c r="F1449" s="183"/>
      <c r="G1449" s="183"/>
      <c r="H1449" s="183"/>
      <c r="I1449" s="183"/>
      <c r="J1449" s="183"/>
    </row>
    <row r="1450" spans="3:10" x14ac:dyDescent="0.25">
      <c r="C1450" s="183"/>
      <c r="D1450" s="183"/>
      <c r="E1450" s="183"/>
      <c r="F1450" s="183"/>
      <c r="G1450" s="183"/>
      <c r="H1450" s="183"/>
      <c r="I1450" s="183"/>
      <c r="J1450" s="183"/>
    </row>
    <row r="1451" spans="3:10" x14ac:dyDescent="0.25">
      <c r="C1451" s="183"/>
      <c r="D1451" s="183"/>
      <c r="E1451" s="183"/>
      <c r="F1451" s="183"/>
      <c r="G1451" s="183"/>
      <c r="H1451" s="183"/>
      <c r="I1451" s="183"/>
      <c r="J1451" s="183"/>
    </row>
    <row r="1452" spans="3:10" x14ac:dyDescent="0.25">
      <c r="C1452" s="183"/>
      <c r="D1452" s="183"/>
      <c r="E1452" s="183"/>
      <c r="F1452" s="183"/>
      <c r="G1452" s="183"/>
      <c r="H1452" s="183"/>
      <c r="I1452" s="183"/>
      <c r="J1452" s="183"/>
    </row>
    <row r="1453" spans="3:10" x14ac:dyDescent="0.25">
      <c r="C1453" s="183"/>
      <c r="D1453" s="183"/>
      <c r="E1453" s="183"/>
      <c r="F1453" s="183"/>
      <c r="G1453" s="183"/>
      <c r="H1453" s="183"/>
      <c r="I1453" s="183"/>
      <c r="J1453" s="183"/>
    </row>
    <row r="1454" spans="3:10" x14ac:dyDescent="0.25">
      <c r="C1454" s="183"/>
      <c r="D1454" s="183"/>
      <c r="E1454" s="183"/>
      <c r="F1454" s="183"/>
      <c r="G1454" s="183"/>
      <c r="H1454" s="183"/>
      <c r="I1454" s="183"/>
      <c r="J1454" s="183"/>
    </row>
    <row r="1455" spans="3:10" x14ac:dyDescent="0.25">
      <c r="C1455" s="183"/>
      <c r="D1455" s="183"/>
      <c r="E1455" s="183"/>
      <c r="F1455" s="183"/>
      <c r="G1455" s="183"/>
      <c r="H1455" s="183"/>
      <c r="I1455" s="183"/>
      <c r="J1455" s="183"/>
    </row>
    <row r="1456" spans="3:10" x14ac:dyDescent="0.25">
      <c r="C1456" s="183"/>
      <c r="D1456" s="183"/>
      <c r="E1456" s="183"/>
      <c r="F1456" s="183"/>
      <c r="G1456" s="183"/>
      <c r="H1456" s="183"/>
      <c r="I1456" s="183"/>
      <c r="J1456" s="183"/>
    </row>
    <row r="1457" spans="3:10" x14ac:dyDescent="0.25">
      <c r="C1457" s="183"/>
      <c r="D1457" s="183"/>
      <c r="E1457" s="183"/>
      <c r="F1457" s="183"/>
      <c r="G1457" s="183"/>
      <c r="H1457" s="183"/>
      <c r="I1457" s="183"/>
      <c r="J1457" s="183"/>
    </row>
    <row r="1458" spans="3:10" x14ac:dyDescent="0.25">
      <c r="C1458" s="183"/>
      <c r="D1458" s="183"/>
      <c r="E1458" s="183"/>
      <c r="F1458" s="183"/>
      <c r="G1458" s="183"/>
      <c r="H1458" s="183"/>
      <c r="I1458" s="183"/>
      <c r="J1458" s="183"/>
    </row>
    <row r="1459" spans="3:10" x14ac:dyDescent="0.25">
      <c r="C1459" s="183"/>
      <c r="D1459" s="183"/>
      <c r="E1459" s="183"/>
      <c r="F1459" s="183"/>
      <c r="G1459" s="183"/>
      <c r="H1459" s="183"/>
      <c r="I1459" s="183"/>
      <c r="J1459" s="183"/>
    </row>
    <row r="1460" spans="3:10" x14ac:dyDescent="0.25">
      <c r="C1460" s="183"/>
      <c r="D1460" s="183"/>
      <c r="E1460" s="183"/>
      <c r="F1460" s="183"/>
      <c r="G1460" s="183"/>
      <c r="H1460" s="183"/>
      <c r="I1460" s="183"/>
      <c r="J1460" s="183"/>
    </row>
    <row r="1461" spans="3:10" x14ac:dyDescent="0.25">
      <c r="C1461" s="183"/>
      <c r="D1461" s="183"/>
      <c r="E1461" s="183"/>
      <c r="F1461" s="183"/>
      <c r="G1461" s="183"/>
      <c r="H1461" s="183"/>
      <c r="I1461" s="183"/>
      <c r="J1461" s="183"/>
    </row>
    <row r="1462" spans="3:10" x14ac:dyDescent="0.25">
      <c r="C1462" s="183"/>
      <c r="D1462" s="183"/>
      <c r="E1462" s="183"/>
      <c r="F1462" s="183"/>
      <c r="G1462" s="183"/>
      <c r="H1462" s="183"/>
      <c r="I1462" s="183"/>
      <c r="J1462" s="183"/>
    </row>
    <row r="1463" spans="3:10" x14ac:dyDescent="0.25">
      <c r="C1463" s="183"/>
      <c r="D1463" s="183"/>
      <c r="E1463" s="183"/>
      <c r="F1463" s="183"/>
      <c r="G1463" s="183"/>
      <c r="H1463" s="183"/>
      <c r="I1463" s="183"/>
      <c r="J1463" s="183"/>
    </row>
    <row r="1464" spans="3:10" x14ac:dyDescent="0.25">
      <c r="C1464" s="183"/>
      <c r="D1464" s="183"/>
      <c r="E1464" s="183"/>
      <c r="F1464" s="183"/>
      <c r="G1464" s="183"/>
      <c r="H1464" s="183"/>
      <c r="I1464" s="183"/>
      <c r="J1464" s="183"/>
    </row>
    <row r="1465" spans="3:10" x14ac:dyDescent="0.25">
      <c r="C1465" s="183"/>
      <c r="D1465" s="183"/>
      <c r="E1465" s="183"/>
      <c r="F1465" s="183"/>
      <c r="G1465" s="183"/>
      <c r="H1465" s="183"/>
      <c r="I1465" s="183"/>
      <c r="J1465" s="183"/>
    </row>
    <row r="1466" spans="3:10" x14ac:dyDescent="0.25">
      <c r="C1466" s="183"/>
      <c r="D1466" s="183"/>
      <c r="E1466" s="183"/>
      <c r="F1466" s="183"/>
      <c r="G1466" s="183"/>
      <c r="H1466" s="183"/>
      <c r="I1466" s="183"/>
      <c r="J1466" s="183"/>
    </row>
    <row r="1467" spans="3:10" x14ac:dyDescent="0.25">
      <c r="C1467" s="183"/>
      <c r="D1467" s="183"/>
      <c r="E1467" s="183"/>
      <c r="F1467" s="183"/>
      <c r="G1467" s="183"/>
      <c r="H1467" s="183"/>
      <c r="I1467" s="183"/>
      <c r="J1467" s="183"/>
    </row>
    <row r="1468" spans="3:10" x14ac:dyDescent="0.25">
      <c r="C1468" s="183"/>
      <c r="D1468" s="183"/>
      <c r="E1468" s="183"/>
      <c r="F1468" s="183"/>
      <c r="G1468" s="183"/>
      <c r="H1468" s="183"/>
      <c r="I1468" s="183"/>
      <c r="J1468" s="183"/>
    </row>
    <row r="1469" spans="3:10" x14ac:dyDescent="0.25">
      <c r="C1469" s="183"/>
      <c r="D1469" s="183"/>
      <c r="E1469" s="183"/>
      <c r="F1469" s="183"/>
      <c r="G1469" s="183"/>
      <c r="H1469" s="183"/>
      <c r="I1469" s="183"/>
      <c r="J1469" s="183"/>
    </row>
    <row r="1470" spans="3:10" x14ac:dyDescent="0.25">
      <c r="C1470" s="183"/>
      <c r="D1470" s="183"/>
      <c r="E1470" s="183"/>
      <c r="F1470" s="183"/>
      <c r="G1470" s="183"/>
      <c r="H1470" s="183"/>
      <c r="I1470" s="183"/>
      <c r="J1470" s="183"/>
    </row>
    <row r="1471" spans="3:10" x14ac:dyDescent="0.25">
      <c r="C1471" s="183"/>
      <c r="D1471" s="183"/>
      <c r="E1471" s="183"/>
      <c r="F1471" s="183"/>
      <c r="G1471" s="183"/>
      <c r="H1471" s="183"/>
      <c r="I1471" s="183"/>
      <c r="J1471" s="183"/>
    </row>
    <row r="1472" spans="3:10" x14ac:dyDescent="0.25">
      <c r="C1472" s="183"/>
      <c r="D1472" s="183"/>
      <c r="E1472" s="183"/>
      <c r="F1472" s="183"/>
      <c r="G1472" s="183"/>
      <c r="H1472" s="183"/>
      <c r="I1472" s="183"/>
      <c r="J1472" s="183"/>
    </row>
    <row r="1473" spans="3:10" x14ac:dyDescent="0.25">
      <c r="C1473" s="183"/>
      <c r="D1473" s="183"/>
      <c r="E1473" s="183"/>
      <c r="F1473" s="183"/>
      <c r="G1473" s="183"/>
      <c r="H1473" s="183"/>
      <c r="I1473" s="183"/>
      <c r="J1473" s="183"/>
    </row>
    <row r="1474" spans="3:10" x14ac:dyDescent="0.25">
      <c r="C1474" s="183"/>
      <c r="D1474" s="183"/>
      <c r="E1474" s="183"/>
      <c r="F1474" s="183"/>
      <c r="G1474" s="183"/>
      <c r="H1474" s="183"/>
      <c r="I1474" s="183"/>
      <c r="J1474" s="183"/>
    </row>
    <row r="1475" spans="3:10" x14ac:dyDescent="0.25">
      <c r="C1475" s="183"/>
      <c r="D1475" s="183"/>
      <c r="E1475" s="183"/>
      <c r="F1475" s="183"/>
      <c r="G1475" s="183"/>
      <c r="H1475" s="183"/>
      <c r="I1475" s="183"/>
      <c r="J1475" s="183"/>
    </row>
    <row r="1476" spans="3:10" x14ac:dyDescent="0.25">
      <c r="C1476" s="183"/>
      <c r="D1476" s="183"/>
      <c r="E1476" s="183"/>
      <c r="F1476" s="183"/>
      <c r="G1476" s="183"/>
      <c r="H1476" s="183"/>
      <c r="I1476" s="183"/>
      <c r="J1476" s="183"/>
    </row>
    <row r="1477" spans="3:10" x14ac:dyDescent="0.25">
      <c r="C1477" s="183"/>
      <c r="D1477" s="183"/>
      <c r="E1477" s="183"/>
      <c r="F1477" s="183"/>
      <c r="G1477" s="183"/>
      <c r="H1477" s="183"/>
      <c r="I1477" s="183"/>
      <c r="J1477" s="183"/>
    </row>
    <row r="1478" spans="3:10" x14ac:dyDescent="0.25">
      <c r="C1478" s="183"/>
      <c r="D1478" s="183"/>
      <c r="E1478" s="183"/>
      <c r="F1478" s="183"/>
      <c r="G1478" s="183"/>
      <c r="H1478" s="183"/>
      <c r="I1478" s="183"/>
    </row>
    <row r="1479" spans="3:10" x14ac:dyDescent="0.25">
      <c r="C1479" s="183"/>
      <c r="D1479" s="183"/>
      <c r="E1479" s="183"/>
      <c r="F1479" s="183"/>
      <c r="G1479" s="183"/>
      <c r="H1479" s="183"/>
      <c r="I1479" s="183"/>
    </row>
    <row r="1480" spans="3:10" x14ac:dyDescent="0.25">
      <c r="C1480" s="183"/>
      <c r="D1480" s="183"/>
      <c r="E1480" s="183"/>
      <c r="F1480" s="183"/>
      <c r="G1480" s="183"/>
      <c r="H1480" s="183"/>
      <c r="I1480" s="183"/>
    </row>
    <row r="1481" spans="3:10" x14ac:dyDescent="0.25">
      <c r="C1481" s="183"/>
      <c r="D1481" s="183"/>
      <c r="E1481" s="183"/>
      <c r="F1481" s="183"/>
      <c r="G1481" s="183"/>
      <c r="H1481" s="183"/>
      <c r="I1481" s="183"/>
    </row>
    <row r="1482" spans="3:10" x14ac:dyDescent="0.25">
      <c r="C1482" s="183"/>
      <c r="D1482" s="183"/>
      <c r="E1482" s="183"/>
      <c r="F1482" s="183"/>
      <c r="G1482" s="183"/>
      <c r="H1482" s="183"/>
      <c r="I1482" s="183"/>
    </row>
  </sheetData>
  <mergeCells count="34">
    <mergeCell ref="A376:B376"/>
    <mergeCell ref="A415:B415"/>
    <mergeCell ref="A455:B455"/>
    <mergeCell ref="A492:B492"/>
    <mergeCell ref="A378:F378"/>
    <mergeCell ref="A2:F2"/>
    <mergeCell ref="A49:F49"/>
    <mergeCell ref="A107:F107"/>
    <mergeCell ref="A153:F153"/>
    <mergeCell ref="A279:F279"/>
    <mergeCell ref="A47:B47"/>
    <mergeCell ref="A106:B106"/>
    <mergeCell ref="A151:B151"/>
    <mergeCell ref="A180:F180"/>
    <mergeCell ref="U160:Z160"/>
    <mergeCell ref="A238:F238"/>
    <mergeCell ref="A349:F349"/>
    <mergeCell ref="A366:F366"/>
    <mergeCell ref="A332:F332"/>
    <mergeCell ref="A193:B193"/>
    <mergeCell ref="A237:B237"/>
    <mergeCell ref="A330:B330"/>
    <mergeCell ref="A347:B347"/>
    <mergeCell ref="A364:B364"/>
    <mergeCell ref="A493:B493"/>
    <mergeCell ref="A748:H748"/>
    <mergeCell ref="A599:B599"/>
    <mergeCell ref="A654:B654"/>
    <mergeCell ref="A594:B594"/>
    <mergeCell ref="A652:B652"/>
    <mergeCell ref="A709:B709"/>
    <mergeCell ref="A711:B711"/>
    <mergeCell ref="A735:B735"/>
    <mergeCell ref="A741:B741"/>
  </mergeCells>
  <pageMargins left="0.25" right="0.25" top="0.75" bottom="0.75" header="0.3" footer="0.3"/>
  <pageSetup scale="86" fitToHeight="0" orientation="landscape" r:id="rId1"/>
  <headerFooter alignWithMargins="0">
    <oddFooter>Page &amp;P</oddFooter>
  </headerFooter>
  <rowBreaks count="39" manualBreakCount="39">
    <brk id="28" max="13" man="1"/>
    <brk id="47" max="13" man="1"/>
    <brk id="77" max="13" man="1"/>
    <brk id="106" max="13" man="1"/>
    <brk id="138" max="13" man="1"/>
    <brk id="152" max="13" man="1"/>
    <brk id="179" max="13" man="1"/>
    <brk id="193" max="13" man="1"/>
    <brk id="225" max="13" man="1"/>
    <brk id="237" max="13" man="1"/>
    <brk id="269" max="13" man="1"/>
    <brk id="278" max="13" man="1"/>
    <brk id="306" max="13" man="1"/>
    <brk id="330" max="13" man="1"/>
    <brk id="347" max="13" man="1"/>
    <brk id="364" max="13" man="1"/>
    <brk id="377" max="13" man="1"/>
    <brk id="403" max="13" man="1"/>
    <brk id="415" max="13" man="1"/>
    <brk id="445" max="13" man="1"/>
    <brk id="455" max="13" man="1"/>
    <brk id="463" max="13" man="1"/>
    <brk id="492" max="13" man="1"/>
    <brk id="520" max="13" man="1"/>
    <brk id="539" max="13" man="1"/>
    <brk id="561" max="13" man="1"/>
    <brk id="586" max="13" man="1"/>
    <brk id="597" max="13" man="1"/>
    <brk id="627" max="13" man="1"/>
    <brk id="653" max="13" man="1"/>
    <brk id="684" max="13" man="1"/>
    <brk id="711" max="13" man="1"/>
    <brk id="729" max="13" man="1"/>
    <brk id="745" max="13" man="1"/>
    <brk id="767" max="13" man="1"/>
    <brk id="795" max="13" man="1"/>
    <brk id="818" max="13" man="1"/>
    <brk id="844" max="13" man="1"/>
    <brk id="870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9"/>
  <sheetViews>
    <sheetView zoomScaleNormal="100" workbookViewId="0">
      <selection activeCell="G8" sqref="G8"/>
    </sheetView>
  </sheetViews>
  <sheetFormatPr defaultRowHeight="12.75" x14ac:dyDescent="0.2"/>
  <cols>
    <col min="5" max="6" width="9.140625" hidden="1" customWidth="1"/>
    <col min="9" max="9" width="10.140625" bestFit="1" customWidth="1"/>
  </cols>
  <sheetData>
    <row r="2" spans="1:9" x14ac:dyDescent="0.2">
      <c r="A2" t="s">
        <v>330</v>
      </c>
    </row>
    <row r="4" spans="1:9" x14ac:dyDescent="0.2">
      <c r="A4" t="s">
        <v>304</v>
      </c>
      <c r="B4" t="s">
        <v>305</v>
      </c>
    </row>
    <row r="5" spans="1:9" x14ac:dyDescent="0.2">
      <c r="A5" t="s">
        <v>306</v>
      </c>
      <c r="B5" t="s">
        <v>307</v>
      </c>
    </row>
    <row r="6" spans="1:9" x14ac:dyDescent="0.2">
      <c r="E6" s="25" t="s">
        <v>340</v>
      </c>
      <c r="G6" s="77" t="s">
        <v>658</v>
      </c>
      <c r="H6" s="25"/>
      <c r="I6" s="77" t="s">
        <v>781</v>
      </c>
    </row>
    <row r="7" spans="1:9" x14ac:dyDescent="0.2">
      <c r="A7" s="15" t="s">
        <v>331</v>
      </c>
      <c r="E7" s="16" t="s">
        <v>332</v>
      </c>
      <c r="G7" s="16" t="s">
        <v>333</v>
      </c>
      <c r="H7" s="16"/>
      <c r="I7" s="16" t="s">
        <v>333</v>
      </c>
    </row>
    <row r="9" spans="1:9" x14ac:dyDescent="0.2">
      <c r="A9" t="s">
        <v>334</v>
      </c>
      <c r="E9" s="17">
        <v>6512</v>
      </c>
      <c r="F9" s="17"/>
      <c r="G9" s="52">
        <v>80003</v>
      </c>
      <c r="H9" s="17"/>
      <c r="I9" s="37">
        <v>82404</v>
      </c>
    </row>
    <row r="10" spans="1:9" x14ac:dyDescent="0.2">
      <c r="E10" s="17"/>
      <c r="F10" s="17"/>
      <c r="G10" s="52"/>
      <c r="H10" s="17"/>
      <c r="I10" s="37"/>
    </row>
    <row r="11" spans="1:9" x14ac:dyDescent="0.2">
      <c r="A11" t="s">
        <v>335</v>
      </c>
      <c r="E11" s="17">
        <v>4160</v>
      </c>
      <c r="F11" s="17"/>
      <c r="G11" s="52">
        <v>58011</v>
      </c>
      <c r="H11" s="17"/>
      <c r="I11" s="37">
        <v>59752</v>
      </c>
    </row>
    <row r="12" spans="1:9" x14ac:dyDescent="0.2">
      <c r="E12" s="17"/>
      <c r="F12" s="17"/>
      <c r="G12" s="52"/>
      <c r="H12" s="17"/>
      <c r="I12" s="37"/>
    </row>
    <row r="13" spans="1:9" x14ac:dyDescent="0.2">
      <c r="A13" t="s">
        <v>759</v>
      </c>
      <c r="E13" s="17"/>
      <c r="F13" s="17"/>
      <c r="G13" s="52">
        <v>33280</v>
      </c>
      <c r="H13" s="17"/>
      <c r="I13" s="37">
        <v>34279</v>
      </c>
    </row>
    <row r="14" spans="1:9" x14ac:dyDescent="0.2">
      <c r="E14" s="17"/>
      <c r="F14" s="17"/>
      <c r="G14" s="52"/>
      <c r="H14" s="17"/>
      <c r="I14" s="37"/>
    </row>
    <row r="15" spans="1:9" x14ac:dyDescent="0.2">
      <c r="E15" s="17"/>
      <c r="F15" s="17"/>
      <c r="G15" s="17"/>
      <c r="H15" s="17"/>
      <c r="I15" s="17"/>
    </row>
    <row r="16" spans="1:9" x14ac:dyDescent="0.2">
      <c r="A16" t="s">
        <v>336</v>
      </c>
      <c r="E16" s="17"/>
      <c r="F16" s="17"/>
      <c r="G16" s="17">
        <f>SUM(G9:G13)</f>
        <v>171294</v>
      </c>
      <c r="H16" s="17"/>
      <c r="I16" s="17">
        <f>SUM(I9:I15)</f>
        <v>176435</v>
      </c>
    </row>
    <row r="17" spans="5:9" x14ac:dyDescent="0.2">
      <c r="E17" s="17"/>
      <c r="F17" s="17"/>
      <c r="G17" s="17"/>
      <c r="H17" s="17"/>
      <c r="I17" s="17"/>
    </row>
    <row r="18" spans="5:9" x14ac:dyDescent="0.2">
      <c r="E18" s="17"/>
      <c r="F18" s="17"/>
      <c r="G18" s="17"/>
      <c r="H18" s="17"/>
      <c r="I18" s="17"/>
    </row>
    <row r="19" spans="5:9" x14ac:dyDescent="0.2">
      <c r="E19" s="17"/>
      <c r="F19" s="17"/>
      <c r="G19" s="17"/>
      <c r="H19" s="17"/>
      <c r="I19" s="17"/>
    </row>
    <row r="20" spans="5:9" x14ac:dyDescent="0.2">
      <c r="E20" s="17"/>
      <c r="F20" s="17"/>
      <c r="G20" s="17"/>
      <c r="H20" s="17"/>
      <c r="I20" s="17"/>
    </row>
    <row r="21" spans="5:9" x14ac:dyDescent="0.2">
      <c r="E21" s="17"/>
      <c r="F21" s="17"/>
      <c r="G21" s="17"/>
      <c r="H21" s="17"/>
      <c r="I21" s="17"/>
    </row>
    <row r="22" spans="5:9" x14ac:dyDescent="0.2">
      <c r="E22" s="17"/>
      <c r="F22" s="17"/>
      <c r="G22" s="17"/>
      <c r="H22" s="17"/>
      <c r="I22" s="17"/>
    </row>
    <row r="23" spans="5:9" x14ac:dyDescent="0.2">
      <c r="E23" s="17"/>
      <c r="F23" s="17"/>
      <c r="G23" s="17"/>
      <c r="H23" s="17"/>
      <c r="I23" s="17"/>
    </row>
    <row r="24" spans="5:9" x14ac:dyDescent="0.2">
      <c r="E24" s="17"/>
      <c r="F24" s="17"/>
      <c r="G24" s="17"/>
      <c r="H24" s="17"/>
      <c r="I24" s="17"/>
    </row>
    <row r="25" spans="5:9" x14ac:dyDescent="0.2">
      <c r="E25" s="17"/>
      <c r="F25" s="17"/>
      <c r="G25" s="17"/>
      <c r="H25" s="17"/>
      <c r="I25" s="17"/>
    </row>
    <row r="26" spans="5:9" x14ac:dyDescent="0.2">
      <c r="E26" s="17"/>
      <c r="F26" s="17"/>
      <c r="G26" s="17"/>
      <c r="H26" s="17"/>
      <c r="I26" s="17"/>
    </row>
    <row r="27" spans="5:9" x14ac:dyDescent="0.2">
      <c r="E27" s="17"/>
      <c r="F27" s="17"/>
      <c r="G27" s="17"/>
      <c r="H27" s="17"/>
      <c r="I27" s="17"/>
    </row>
    <row r="28" spans="5:9" x14ac:dyDescent="0.2">
      <c r="E28" s="17"/>
      <c r="F28" s="17"/>
      <c r="G28" s="17"/>
      <c r="H28" s="17"/>
      <c r="I28" s="17"/>
    </row>
    <row r="29" spans="5:9" x14ac:dyDescent="0.2">
      <c r="E29" s="17"/>
      <c r="F29" s="17"/>
      <c r="G29" s="17"/>
      <c r="H29" s="17"/>
      <c r="I29" s="17"/>
    </row>
    <row r="30" spans="5:9" x14ac:dyDescent="0.2">
      <c r="E30" s="17"/>
      <c r="F30" s="17"/>
      <c r="G30" s="17"/>
      <c r="H30" s="17"/>
      <c r="I30" s="17"/>
    </row>
    <row r="31" spans="5:9" x14ac:dyDescent="0.2">
      <c r="E31" s="17"/>
      <c r="F31" s="17"/>
      <c r="G31" s="17"/>
      <c r="H31" s="17"/>
      <c r="I31" s="17"/>
    </row>
    <row r="32" spans="5:9" x14ac:dyDescent="0.2">
      <c r="E32" s="17"/>
      <c r="F32" s="17"/>
      <c r="G32" s="17"/>
      <c r="H32" s="17"/>
      <c r="I32" s="17"/>
    </row>
    <row r="33" spans="5:9" x14ac:dyDescent="0.2">
      <c r="E33" s="17"/>
      <c r="F33" s="17"/>
      <c r="G33" s="17"/>
      <c r="H33" s="17"/>
      <c r="I33" s="17"/>
    </row>
    <row r="34" spans="5:9" x14ac:dyDescent="0.2">
      <c r="E34" s="17"/>
      <c r="F34" s="17"/>
      <c r="G34" s="17"/>
      <c r="H34" s="17"/>
      <c r="I34" s="17"/>
    </row>
    <row r="35" spans="5:9" x14ac:dyDescent="0.2">
      <c r="E35" s="17"/>
      <c r="F35" s="17"/>
      <c r="G35" s="17"/>
      <c r="H35" s="17"/>
      <c r="I35" s="17"/>
    </row>
    <row r="36" spans="5:9" x14ac:dyDescent="0.2">
      <c r="E36" s="17"/>
      <c r="F36" s="17"/>
      <c r="G36" s="17"/>
      <c r="H36" s="17"/>
      <c r="I36" s="17"/>
    </row>
    <row r="37" spans="5:9" x14ac:dyDescent="0.2">
      <c r="E37" s="17"/>
      <c r="F37" s="17"/>
      <c r="G37" s="17"/>
      <c r="H37" s="17"/>
      <c r="I37" s="17"/>
    </row>
    <row r="38" spans="5:9" x14ac:dyDescent="0.2">
      <c r="E38" s="17"/>
      <c r="F38" s="17"/>
      <c r="G38" s="17"/>
      <c r="H38" s="17"/>
      <c r="I38" s="17"/>
    </row>
    <row r="39" spans="5:9" x14ac:dyDescent="0.2">
      <c r="E39" s="17"/>
      <c r="F39" s="17"/>
      <c r="G39" s="17"/>
      <c r="H39" s="17"/>
      <c r="I39" s="17"/>
    </row>
    <row r="40" spans="5:9" x14ac:dyDescent="0.2">
      <c r="E40" s="17"/>
      <c r="F40" s="17"/>
      <c r="G40" s="17"/>
      <c r="H40" s="17"/>
      <c r="I40" s="17"/>
    </row>
    <row r="41" spans="5:9" x14ac:dyDescent="0.2">
      <c r="E41" s="17"/>
      <c r="F41" s="17"/>
      <c r="G41" s="17"/>
      <c r="H41" s="17"/>
      <c r="I41" s="17"/>
    </row>
    <row r="42" spans="5:9" x14ac:dyDescent="0.2">
      <c r="E42" s="17"/>
      <c r="F42" s="17"/>
      <c r="G42" s="17"/>
      <c r="H42" s="17"/>
      <c r="I42" s="17"/>
    </row>
    <row r="43" spans="5:9" x14ac:dyDescent="0.2">
      <c r="E43" s="17"/>
      <c r="F43" s="17"/>
      <c r="G43" s="17"/>
      <c r="H43" s="17"/>
      <c r="I43" s="17"/>
    </row>
    <row r="44" spans="5:9" x14ac:dyDescent="0.2">
      <c r="E44" s="17"/>
      <c r="F44" s="17"/>
      <c r="G44" s="17"/>
      <c r="H44" s="17"/>
      <c r="I44" s="17"/>
    </row>
    <row r="45" spans="5:9" x14ac:dyDescent="0.2">
      <c r="E45" s="17"/>
      <c r="F45" s="17"/>
      <c r="G45" s="17"/>
      <c r="H45" s="17"/>
      <c r="I45" s="17"/>
    </row>
    <row r="46" spans="5:9" x14ac:dyDescent="0.2">
      <c r="E46" s="17"/>
      <c r="F46" s="17"/>
      <c r="G46" s="17"/>
      <c r="H46" s="17"/>
      <c r="I46" s="17"/>
    </row>
    <row r="47" spans="5:9" x14ac:dyDescent="0.2">
      <c r="E47" s="17"/>
      <c r="F47" s="17"/>
      <c r="G47" s="17"/>
      <c r="H47" s="17"/>
      <c r="I47" s="17"/>
    </row>
    <row r="48" spans="5:9" x14ac:dyDescent="0.2">
      <c r="E48" s="17"/>
      <c r="F48" s="17"/>
      <c r="G48" s="17"/>
      <c r="H48" s="17"/>
      <c r="I48" s="17"/>
    </row>
    <row r="49" spans="5:9" x14ac:dyDescent="0.2">
      <c r="E49" s="17"/>
      <c r="F49" s="17"/>
      <c r="G49" s="17"/>
      <c r="H49" s="17"/>
      <c r="I49" s="17"/>
    </row>
  </sheetData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5"/>
  <sheetViews>
    <sheetView zoomScaleNormal="100" workbookViewId="0">
      <selection activeCell="H1" sqref="H1"/>
    </sheetView>
  </sheetViews>
  <sheetFormatPr defaultRowHeight="12.75" x14ac:dyDescent="0.2"/>
  <cols>
    <col min="1" max="1" width="11.28515625" customWidth="1"/>
    <col min="2" max="2" width="3.42578125" customWidth="1"/>
    <col min="3" max="3" width="49.7109375" customWidth="1"/>
    <col min="4" max="4" width="2.7109375" customWidth="1"/>
    <col min="5" max="5" width="12.85546875" customWidth="1"/>
    <col min="7" max="7" width="12.85546875" customWidth="1"/>
  </cols>
  <sheetData>
    <row r="1" spans="1:7" x14ac:dyDescent="0.2">
      <c r="A1" s="7" t="s">
        <v>303</v>
      </c>
      <c r="B1" s="7"/>
      <c r="C1" s="7"/>
      <c r="D1" s="7"/>
      <c r="E1" s="7"/>
      <c r="G1" s="7"/>
    </row>
    <row r="2" spans="1:7" x14ac:dyDescent="0.2">
      <c r="A2" s="7"/>
      <c r="B2" s="7"/>
      <c r="C2" s="7"/>
      <c r="D2" s="7"/>
      <c r="E2" s="7"/>
      <c r="G2" s="7"/>
    </row>
    <row r="3" spans="1:7" x14ac:dyDescent="0.2">
      <c r="A3" s="7" t="s">
        <v>304</v>
      </c>
      <c r="B3" s="7"/>
      <c r="C3" s="7" t="s">
        <v>305</v>
      </c>
      <c r="D3" s="7"/>
      <c r="E3" s="7"/>
      <c r="G3" s="7"/>
    </row>
    <row r="4" spans="1:7" x14ac:dyDescent="0.2">
      <c r="A4" s="7" t="s">
        <v>306</v>
      </c>
      <c r="B4" s="7"/>
      <c r="C4" s="7" t="s">
        <v>307</v>
      </c>
      <c r="D4" s="7"/>
      <c r="E4" s="53"/>
      <c r="G4" s="53" t="s">
        <v>651</v>
      </c>
    </row>
    <row r="5" spans="1:7" x14ac:dyDescent="0.2">
      <c r="A5" s="7"/>
      <c r="B5" s="7"/>
      <c r="C5" s="7"/>
      <c r="D5" s="7"/>
      <c r="E5" s="442" t="s">
        <v>658</v>
      </c>
      <c r="G5" s="442" t="s">
        <v>781</v>
      </c>
    </row>
    <row r="6" spans="1:7" x14ac:dyDescent="0.2">
      <c r="A6" s="8" t="s">
        <v>308</v>
      </c>
      <c r="B6" s="7"/>
      <c r="C6" s="9" t="s">
        <v>309</v>
      </c>
      <c r="D6" s="7"/>
      <c r="E6" s="9" t="s">
        <v>310</v>
      </c>
      <c r="G6" s="9" t="s">
        <v>333</v>
      </c>
    </row>
    <row r="7" spans="1:7" x14ac:dyDescent="0.2">
      <c r="A7" s="7"/>
      <c r="B7" s="7"/>
      <c r="C7" s="7"/>
      <c r="D7" s="7"/>
      <c r="E7" s="7"/>
      <c r="G7" s="7"/>
    </row>
    <row r="8" spans="1:7" x14ac:dyDescent="0.2">
      <c r="A8" s="7">
        <v>510.01</v>
      </c>
      <c r="B8" s="7"/>
      <c r="C8" s="7" t="s">
        <v>311</v>
      </c>
      <c r="D8" s="7"/>
      <c r="E8" s="574">
        <v>7320</v>
      </c>
      <c r="F8" s="23"/>
      <c r="G8" s="574">
        <v>7320</v>
      </c>
    </row>
    <row r="9" spans="1:7" x14ac:dyDescent="0.2">
      <c r="A9" s="7"/>
      <c r="B9" s="7"/>
      <c r="C9" s="7" t="s">
        <v>312</v>
      </c>
      <c r="D9" s="7"/>
      <c r="E9" s="574"/>
      <c r="F9" s="23"/>
      <c r="G9" s="574"/>
    </row>
    <row r="10" spans="1:7" x14ac:dyDescent="0.2">
      <c r="A10" s="7"/>
      <c r="B10" s="7"/>
      <c r="C10" s="7" t="s">
        <v>763</v>
      </c>
      <c r="D10" s="7"/>
      <c r="E10" s="575"/>
      <c r="F10" s="23"/>
      <c r="G10" s="575"/>
    </row>
    <row r="11" spans="1:7" x14ac:dyDescent="0.2">
      <c r="A11" s="7">
        <v>510.03</v>
      </c>
      <c r="B11" s="7"/>
      <c r="C11" s="460" t="s">
        <v>43</v>
      </c>
      <c r="D11" s="7"/>
      <c r="E11" s="574">
        <v>60000</v>
      </c>
      <c r="F11" s="23"/>
      <c r="G11" s="574">
        <v>60000</v>
      </c>
    </row>
    <row r="12" spans="1:7" x14ac:dyDescent="0.2">
      <c r="A12" s="7"/>
      <c r="B12" s="7"/>
      <c r="C12" s="7" t="s">
        <v>854</v>
      </c>
      <c r="D12" s="7"/>
      <c r="E12" s="574"/>
      <c r="F12" s="23"/>
      <c r="G12" s="574"/>
    </row>
    <row r="13" spans="1:7" x14ac:dyDescent="0.2">
      <c r="A13" s="7"/>
      <c r="B13" s="7"/>
      <c r="C13" s="7" t="s">
        <v>315</v>
      </c>
      <c r="D13" s="7"/>
      <c r="E13" s="574"/>
      <c r="F13" s="23"/>
      <c r="G13" s="574"/>
    </row>
    <row r="14" spans="1:7" x14ac:dyDescent="0.2">
      <c r="A14" s="7"/>
      <c r="B14" s="7"/>
      <c r="C14" s="7" t="s">
        <v>316</v>
      </c>
      <c r="D14" s="7"/>
      <c r="E14" s="575"/>
      <c r="F14" s="23"/>
      <c r="G14" s="575"/>
    </row>
    <row r="15" spans="1:7" x14ac:dyDescent="0.2">
      <c r="A15" s="7">
        <v>510.04</v>
      </c>
      <c r="B15" s="7"/>
      <c r="C15" s="7" t="s">
        <v>128</v>
      </c>
      <c r="D15" s="7"/>
      <c r="E15" s="574">
        <v>15600</v>
      </c>
      <c r="F15" s="23"/>
      <c r="G15" s="574">
        <v>15600</v>
      </c>
    </row>
    <row r="16" spans="1:7" x14ac:dyDescent="0.2">
      <c r="A16" s="12">
        <v>510.05</v>
      </c>
      <c r="B16" s="7"/>
      <c r="C16" s="460" t="s">
        <v>834</v>
      </c>
      <c r="D16" s="7"/>
      <c r="E16" s="574">
        <v>25843</v>
      </c>
      <c r="F16" s="23"/>
      <c r="G16" s="574">
        <v>33625</v>
      </c>
    </row>
    <row r="17" spans="1:7" x14ac:dyDescent="0.2">
      <c r="A17" s="12"/>
      <c r="B17" s="7"/>
      <c r="C17" s="7" t="s">
        <v>855</v>
      </c>
      <c r="D17" s="7"/>
      <c r="E17" s="574"/>
      <c r="F17" s="23"/>
      <c r="G17" s="574"/>
    </row>
    <row r="18" spans="1:7" x14ac:dyDescent="0.2">
      <c r="A18" s="12"/>
      <c r="B18" s="7"/>
      <c r="C18" s="7" t="s">
        <v>856</v>
      </c>
      <c r="D18" s="7"/>
      <c r="E18" s="574"/>
      <c r="F18" s="23"/>
      <c r="G18" s="574"/>
    </row>
    <row r="19" spans="1:7" x14ac:dyDescent="0.2">
      <c r="A19" s="12"/>
      <c r="B19" s="7"/>
      <c r="C19" s="7" t="s">
        <v>830</v>
      </c>
      <c r="D19" s="7"/>
      <c r="E19" s="574"/>
      <c r="F19" s="23"/>
      <c r="G19" s="574"/>
    </row>
    <row r="20" spans="1:7" x14ac:dyDescent="0.2">
      <c r="A20" s="12"/>
      <c r="B20" s="7"/>
      <c r="C20" s="7" t="s">
        <v>898</v>
      </c>
      <c r="D20" s="7"/>
      <c r="E20" s="575"/>
      <c r="F20" s="23"/>
      <c r="G20" s="575"/>
    </row>
    <row r="21" spans="1:7" x14ac:dyDescent="0.2">
      <c r="A21" s="12"/>
      <c r="B21" s="7"/>
      <c r="C21" s="7" t="s">
        <v>784</v>
      </c>
      <c r="D21" s="7"/>
      <c r="E21" s="574"/>
      <c r="F21" s="23"/>
      <c r="G21" s="574"/>
    </row>
    <row r="22" spans="1:7" x14ac:dyDescent="0.2">
      <c r="A22" s="12">
        <v>510.06</v>
      </c>
      <c r="B22" s="7"/>
      <c r="C22" s="7" t="s">
        <v>317</v>
      </c>
      <c r="D22" s="7"/>
      <c r="E22" s="574">
        <v>14123</v>
      </c>
      <c r="F22" s="23"/>
      <c r="G22" s="574">
        <v>14057</v>
      </c>
    </row>
    <row r="23" spans="1:7" x14ac:dyDescent="0.2">
      <c r="A23" s="12">
        <v>510.07</v>
      </c>
      <c r="B23" s="7"/>
      <c r="C23" s="7" t="s">
        <v>782</v>
      </c>
      <c r="D23" s="7"/>
      <c r="E23" s="574">
        <v>8986</v>
      </c>
      <c r="F23" s="23"/>
      <c r="G23" s="574">
        <v>8526</v>
      </c>
    </row>
    <row r="24" spans="1:7" x14ac:dyDescent="0.2">
      <c r="A24" s="12">
        <v>510.08</v>
      </c>
      <c r="B24" s="7"/>
      <c r="C24" s="7" t="s">
        <v>912</v>
      </c>
      <c r="D24" s="7"/>
      <c r="E24" s="574">
        <v>537</v>
      </c>
      <c r="F24" s="23"/>
      <c r="G24" s="574">
        <v>1000</v>
      </c>
    </row>
    <row r="25" spans="1:7" x14ac:dyDescent="0.2">
      <c r="A25" s="12">
        <v>510.11</v>
      </c>
      <c r="B25" s="7"/>
      <c r="C25" s="7" t="s">
        <v>848</v>
      </c>
      <c r="D25" s="7"/>
      <c r="E25" s="574">
        <v>2000</v>
      </c>
      <c r="F25" s="23"/>
      <c r="G25" s="574">
        <v>2000</v>
      </c>
    </row>
    <row r="26" spans="1:7" x14ac:dyDescent="0.2">
      <c r="A26" s="12">
        <v>510.12</v>
      </c>
      <c r="B26" s="7"/>
      <c r="C26" s="7" t="s">
        <v>542</v>
      </c>
      <c r="D26" s="7"/>
      <c r="E26" s="574">
        <v>600</v>
      </c>
      <c r="F26" s="23"/>
      <c r="G26" s="574">
        <v>750</v>
      </c>
    </row>
    <row r="27" spans="1:7" x14ac:dyDescent="0.2">
      <c r="A27" s="12"/>
      <c r="B27" s="7"/>
      <c r="C27" s="7"/>
      <c r="D27" s="7"/>
      <c r="E27" s="574"/>
      <c r="F27" s="23"/>
      <c r="G27" s="574"/>
    </row>
    <row r="28" spans="1:7" x14ac:dyDescent="0.2">
      <c r="A28" s="12">
        <v>520.01</v>
      </c>
      <c r="B28" s="7"/>
      <c r="C28" s="7" t="s">
        <v>133</v>
      </c>
      <c r="D28" s="7"/>
      <c r="E28" s="574">
        <v>5000</v>
      </c>
      <c r="F28" s="23"/>
      <c r="G28" s="574">
        <v>7500</v>
      </c>
    </row>
    <row r="29" spans="1:7" x14ac:dyDescent="0.2">
      <c r="A29" s="12">
        <v>520.02</v>
      </c>
      <c r="B29" s="7"/>
      <c r="C29" s="7" t="s">
        <v>166</v>
      </c>
      <c r="D29" s="7"/>
      <c r="E29" s="574">
        <v>3000</v>
      </c>
      <c r="F29" s="23"/>
      <c r="G29" s="574">
        <v>3000</v>
      </c>
    </row>
    <row r="30" spans="1:7" x14ac:dyDescent="0.2">
      <c r="A30" s="12">
        <v>520.03</v>
      </c>
      <c r="B30" s="7"/>
      <c r="C30" s="7" t="s">
        <v>672</v>
      </c>
      <c r="D30" s="7"/>
      <c r="E30" s="574">
        <v>1500</v>
      </c>
      <c r="F30" s="23"/>
      <c r="G30" s="574">
        <v>1500</v>
      </c>
    </row>
    <row r="31" spans="1:7" x14ac:dyDescent="0.2">
      <c r="A31" s="12">
        <v>520.04</v>
      </c>
      <c r="B31" s="7"/>
      <c r="C31" s="7" t="s">
        <v>867</v>
      </c>
      <c r="D31" s="7"/>
      <c r="E31" s="574">
        <v>0</v>
      </c>
      <c r="F31" s="23"/>
      <c r="G31" s="574">
        <v>1500</v>
      </c>
    </row>
    <row r="32" spans="1:7" x14ac:dyDescent="0.2">
      <c r="A32" s="12">
        <v>520.05999999999995</v>
      </c>
      <c r="B32" s="7"/>
      <c r="C32" s="7" t="s">
        <v>868</v>
      </c>
      <c r="D32" s="7"/>
      <c r="E32" s="574">
        <v>0</v>
      </c>
      <c r="F32" s="23"/>
      <c r="G32" s="574">
        <v>1000</v>
      </c>
    </row>
    <row r="33" spans="1:7" x14ac:dyDescent="0.2">
      <c r="A33" s="12">
        <v>520.08000000000004</v>
      </c>
      <c r="B33" s="7"/>
      <c r="C33" s="7" t="s">
        <v>170</v>
      </c>
      <c r="D33" s="7"/>
      <c r="E33" s="574">
        <v>5000</v>
      </c>
      <c r="F33" s="23"/>
      <c r="G33" s="574">
        <v>6000</v>
      </c>
    </row>
    <row r="34" spans="1:7" x14ac:dyDescent="0.2">
      <c r="A34" s="12">
        <v>520.1</v>
      </c>
      <c r="B34" s="7"/>
      <c r="C34" s="7" t="s">
        <v>851</v>
      </c>
      <c r="D34" s="7"/>
      <c r="E34" s="574">
        <v>700</v>
      </c>
      <c r="F34" s="23"/>
      <c r="G34" s="574">
        <v>1000</v>
      </c>
    </row>
    <row r="35" spans="1:7" x14ac:dyDescent="0.2">
      <c r="A35" s="12">
        <v>520.11</v>
      </c>
      <c r="B35" s="7"/>
      <c r="C35" s="7" t="s">
        <v>19</v>
      </c>
      <c r="D35" s="7"/>
      <c r="E35" s="574">
        <v>500</v>
      </c>
      <c r="F35" s="23"/>
      <c r="G35" s="574">
        <v>1000</v>
      </c>
    </row>
    <row r="36" spans="1:7" x14ac:dyDescent="0.2">
      <c r="A36" s="12"/>
      <c r="B36" s="7"/>
      <c r="C36" s="7"/>
      <c r="D36" s="7"/>
      <c r="E36" s="574"/>
      <c r="F36" s="23"/>
      <c r="G36" s="574"/>
    </row>
    <row r="37" spans="1:7" x14ac:dyDescent="0.2">
      <c r="A37" s="12">
        <v>530.01</v>
      </c>
      <c r="B37" s="7"/>
      <c r="C37" s="7" t="s">
        <v>171</v>
      </c>
      <c r="D37" s="7"/>
      <c r="E37" s="574">
        <v>15700</v>
      </c>
      <c r="F37" s="23"/>
      <c r="G37" s="574">
        <v>15700</v>
      </c>
    </row>
    <row r="38" spans="1:7" x14ac:dyDescent="0.2">
      <c r="A38" s="12">
        <v>530.02</v>
      </c>
      <c r="B38" s="7"/>
      <c r="C38" s="7" t="s">
        <v>436</v>
      </c>
      <c r="D38" s="7"/>
      <c r="E38" s="574">
        <v>3792</v>
      </c>
      <c r="F38" s="23"/>
      <c r="G38" s="574">
        <v>3792</v>
      </c>
    </row>
    <row r="39" spans="1:7" x14ac:dyDescent="0.2">
      <c r="A39" s="12">
        <v>530.03</v>
      </c>
      <c r="B39" s="7"/>
      <c r="C39" s="7" t="s">
        <v>468</v>
      </c>
      <c r="D39" s="7"/>
      <c r="E39" s="574">
        <v>22120</v>
      </c>
      <c r="F39" s="23"/>
      <c r="G39" s="574">
        <v>25000</v>
      </c>
    </row>
    <row r="40" spans="1:7" x14ac:dyDescent="0.2">
      <c r="A40" s="12">
        <v>530.04999999999995</v>
      </c>
      <c r="B40" s="7"/>
      <c r="C40" s="7" t="s">
        <v>18</v>
      </c>
      <c r="D40" s="7"/>
      <c r="E40" s="574">
        <v>1100</v>
      </c>
      <c r="F40" s="23"/>
      <c r="G40" s="574">
        <v>1500</v>
      </c>
    </row>
    <row r="41" spans="1:7" x14ac:dyDescent="0.2">
      <c r="A41" s="12">
        <v>530.05999999999995</v>
      </c>
      <c r="B41" s="7"/>
      <c r="C41" s="7" t="s">
        <v>141</v>
      </c>
      <c r="D41" s="7"/>
      <c r="E41" s="574">
        <v>1000</v>
      </c>
      <c r="F41" s="23"/>
      <c r="G41" s="574">
        <v>1000</v>
      </c>
    </row>
    <row r="42" spans="1:7" x14ac:dyDescent="0.2">
      <c r="A42" s="12">
        <v>530.11</v>
      </c>
      <c r="B42" s="7"/>
      <c r="C42" s="7" t="s">
        <v>2</v>
      </c>
      <c r="D42" s="7"/>
      <c r="E42" s="574">
        <v>11000</v>
      </c>
      <c r="F42" s="23"/>
      <c r="G42" s="574">
        <v>11000</v>
      </c>
    </row>
    <row r="43" spans="1:7" x14ac:dyDescent="0.2">
      <c r="A43" s="12">
        <v>530.13</v>
      </c>
      <c r="B43" s="7"/>
      <c r="C43" s="460" t="s">
        <v>260</v>
      </c>
      <c r="D43" s="7"/>
      <c r="E43" s="574">
        <v>30000</v>
      </c>
      <c r="F43" s="23"/>
      <c r="G43" s="574">
        <v>30000</v>
      </c>
    </row>
    <row r="44" spans="1:7" x14ac:dyDescent="0.2">
      <c r="A44" s="12"/>
      <c r="B44" s="7"/>
      <c r="C44" s="7" t="s">
        <v>857</v>
      </c>
      <c r="D44" s="7"/>
      <c r="E44" s="574"/>
      <c r="F44" s="23"/>
      <c r="G44" s="574"/>
    </row>
    <row r="45" spans="1:7" x14ac:dyDescent="0.2">
      <c r="A45" s="12"/>
      <c r="B45" s="7"/>
      <c r="C45" s="7" t="s">
        <v>319</v>
      </c>
      <c r="D45" s="7"/>
      <c r="E45" s="574"/>
      <c r="F45" s="23"/>
      <c r="G45" s="574"/>
    </row>
    <row r="46" spans="1:7" x14ac:dyDescent="0.2">
      <c r="A46" s="12"/>
      <c r="B46" s="7"/>
      <c r="C46" s="7" t="s">
        <v>554</v>
      </c>
      <c r="D46" s="7"/>
      <c r="E46" s="574"/>
      <c r="F46" s="23"/>
      <c r="G46" s="574"/>
    </row>
    <row r="47" spans="1:7" x14ac:dyDescent="0.2">
      <c r="A47" s="12"/>
      <c r="B47" s="7"/>
      <c r="C47" s="7" t="s">
        <v>558</v>
      </c>
      <c r="D47" s="7"/>
      <c r="E47" s="574"/>
      <c r="F47" s="23"/>
      <c r="G47" s="574"/>
    </row>
    <row r="48" spans="1:7" x14ac:dyDescent="0.2">
      <c r="A48" s="12"/>
      <c r="B48" s="7"/>
      <c r="C48" s="7" t="s">
        <v>559</v>
      </c>
      <c r="D48" s="7"/>
      <c r="E48" s="574"/>
      <c r="F48" s="23"/>
      <c r="G48" s="574"/>
    </row>
    <row r="49" spans="1:7" x14ac:dyDescent="0.2">
      <c r="A49" s="12"/>
      <c r="B49" s="7"/>
      <c r="C49" s="7" t="s">
        <v>560</v>
      </c>
      <c r="D49" s="7"/>
      <c r="E49" s="574"/>
      <c r="F49" s="23"/>
      <c r="G49" s="574"/>
    </row>
    <row r="50" spans="1:7" x14ac:dyDescent="0.2">
      <c r="A50" s="12"/>
      <c r="B50" s="7"/>
      <c r="C50" s="7" t="s">
        <v>561</v>
      </c>
      <c r="D50" s="7"/>
      <c r="E50" s="574"/>
      <c r="F50" s="23"/>
      <c r="G50" s="574"/>
    </row>
    <row r="51" spans="1:7" x14ac:dyDescent="0.2">
      <c r="A51" s="12"/>
      <c r="B51" s="7"/>
      <c r="C51" s="7" t="s">
        <v>562</v>
      </c>
      <c r="D51" s="7"/>
      <c r="E51" s="574"/>
      <c r="F51" s="23"/>
      <c r="G51" s="574"/>
    </row>
    <row r="52" spans="1:7" x14ac:dyDescent="0.2">
      <c r="A52" s="12"/>
      <c r="B52" s="7"/>
      <c r="C52" s="7" t="s">
        <v>563</v>
      </c>
      <c r="D52" s="7"/>
      <c r="E52" s="574"/>
      <c r="F52" s="23"/>
      <c r="G52" s="574"/>
    </row>
    <row r="53" spans="1:7" x14ac:dyDescent="0.2">
      <c r="A53" s="12"/>
      <c r="B53" s="7"/>
      <c r="C53" s="7" t="s">
        <v>564</v>
      </c>
      <c r="D53" s="7"/>
      <c r="E53" s="574"/>
      <c r="F53" s="23"/>
      <c r="G53" s="574"/>
    </row>
    <row r="54" spans="1:7" x14ac:dyDescent="0.2">
      <c r="A54" s="12"/>
      <c r="B54" s="7"/>
      <c r="C54" s="7" t="s">
        <v>565</v>
      </c>
      <c r="D54" s="7"/>
      <c r="E54" s="574"/>
      <c r="F54" s="23"/>
      <c r="G54" s="574"/>
    </row>
    <row r="55" spans="1:7" x14ac:dyDescent="0.2">
      <c r="A55" s="12"/>
      <c r="B55" s="7"/>
      <c r="C55" s="7" t="s">
        <v>566</v>
      </c>
      <c r="D55" s="7"/>
      <c r="E55" s="574"/>
      <c r="F55" s="23"/>
      <c r="G55" s="574"/>
    </row>
    <row r="56" spans="1:7" x14ac:dyDescent="0.2">
      <c r="A56" s="12"/>
      <c r="B56" s="7"/>
      <c r="C56" s="7" t="s">
        <v>567</v>
      </c>
      <c r="D56" s="7"/>
      <c r="E56" s="575"/>
      <c r="F56" s="23"/>
      <c r="G56" s="575"/>
    </row>
    <row r="57" spans="1:7" x14ac:dyDescent="0.2">
      <c r="A57" s="12"/>
      <c r="B57" s="7"/>
      <c r="C57" s="7" t="s">
        <v>320</v>
      </c>
      <c r="D57" s="7"/>
      <c r="E57" s="574"/>
      <c r="F57" s="23"/>
      <c r="G57" s="574"/>
    </row>
    <row r="58" spans="1:7" x14ac:dyDescent="0.2">
      <c r="A58" s="12"/>
      <c r="B58" s="7"/>
      <c r="C58" s="7"/>
      <c r="D58" s="7"/>
      <c r="E58" s="574"/>
      <c r="F58" s="23"/>
      <c r="G58" s="574"/>
    </row>
    <row r="59" spans="1:7" x14ac:dyDescent="0.2">
      <c r="A59" s="12">
        <v>540.01</v>
      </c>
      <c r="B59" s="7"/>
      <c r="C59" s="7" t="s">
        <v>220</v>
      </c>
      <c r="D59" s="7"/>
      <c r="E59" s="574">
        <v>103000</v>
      </c>
      <c r="F59" s="23"/>
      <c r="G59" s="574">
        <v>80000</v>
      </c>
    </row>
    <row r="60" spans="1:7" x14ac:dyDescent="0.2">
      <c r="A60" s="12"/>
      <c r="B60" s="7"/>
      <c r="C60" s="7"/>
      <c r="D60" s="7"/>
      <c r="E60" s="574"/>
      <c r="F60" s="23"/>
      <c r="G60" s="574"/>
    </row>
    <row r="61" spans="1:7" x14ac:dyDescent="0.2">
      <c r="A61" s="12">
        <v>550.01</v>
      </c>
      <c r="B61" s="7"/>
      <c r="C61" s="7" t="s">
        <v>822</v>
      </c>
      <c r="D61" s="7"/>
      <c r="E61" s="574">
        <v>1000</v>
      </c>
      <c r="F61" s="23"/>
      <c r="G61" s="574">
        <v>1000</v>
      </c>
    </row>
    <row r="62" spans="1:7" x14ac:dyDescent="0.2">
      <c r="A62" s="12">
        <v>550.02</v>
      </c>
      <c r="B62" s="7"/>
      <c r="C62" s="7" t="s">
        <v>858</v>
      </c>
      <c r="D62" s="7"/>
      <c r="E62" s="574">
        <v>200</v>
      </c>
      <c r="F62" s="23"/>
      <c r="G62" s="574">
        <v>200</v>
      </c>
    </row>
    <row r="63" spans="1:7" x14ac:dyDescent="0.2">
      <c r="A63" s="12">
        <v>550.05999999999995</v>
      </c>
      <c r="B63" s="7"/>
      <c r="C63" s="7" t="s">
        <v>532</v>
      </c>
      <c r="D63" s="7"/>
      <c r="E63" s="574">
        <v>2000</v>
      </c>
      <c r="F63" s="23"/>
      <c r="G63" s="574">
        <v>2000</v>
      </c>
    </row>
    <row r="64" spans="1:7" x14ac:dyDescent="0.2">
      <c r="A64" s="12"/>
      <c r="B64" s="7"/>
      <c r="C64" s="7"/>
      <c r="D64" s="7"/>
      <c r="E64" s="574"/>
      <c r="F64" s="23"/>
      <c r="G64" s="574"/>
    </row>
    <row r="65" spans="1:7" x14ac:dyDescent="0.2">
      <c r="A65" s="12">
        <v>560.02</v>
      </c>
      <c r="B65" s="7"/>
      <c r="C65" s="460" t="s">
        <v>150</v>
      </c>
      <c r="D65" s="7"/>
      <c r="E65" s="574">
        <v>2500</v>
      </c>
      <c r="F65" s="23"/>
      <c r="G65" s="574">
        <v>2500</v>
      </c>
    </row>
    <row r="66" spans="1:7" x14ac:dyDescent="0.2">
      <c r="A66" s="12"/>
      <c r="B66" s="7"/>
      <c r="C66" s="7" t="s">
        <v>322</v>
      </c>
      <c r="D66" s="7"/>
      <c r="E66" s="574"/>
      <c r="F66" s="23"/>
      <c r="G66" s="574"/>
    </row>
    <row r="67" spans="1:7" x14ac:dyDescent="0.2">
      <c r="A67" s="12"/>
      <c r="B67" s="7"/>
      <c r="C67" s="7" t="s">
        <v>323</v>
      </c>
      <c r="D67" s="7"/>
      <c r="E67" s="574"/>
      <c r="F67" s="23"/>
      <c r="G67" s="574"/>
    </row>
    <row r="68" spans="1:7" x14ac:dyDescent="0.2">
      <c r="A68" s="12"/>
      <c r="B68" s="7"/>
      <c r="C68" s="7" t="s">
        <v>324</v>
      </c>
      <c r="D68" s="7"/>
      <c r="E68" s="574"/>
      <c r="F68" s="23"/>
      <c r="G68" s="574"/>
    </row>
    <row r="69" spans="1:7" x14ac:dyDescent="0.2">
      <c r="A69" s="12"/>
      <c r="B69" s="7"/>
      <c r="C69" s="7" t="s">
        <v>325</v>
      </c>
      <c r="D69" s="7"/>
      <c r="E69" s="574"/>
      <c r="F69" s="23"/>
      <c r="G69" s="574"/>
    </row>
    <row r="70" spans="1:7" x14ac:dyDescent="0.2">
      <c r="A70" s="12"/>
      <c r="B70" s="7"/>
      <c r="C70" s="7" t="s">
        <v>326</v>
      </c>
      <c r="D70" s="7"/>
      <c r="E70" s="574"/>
      <c r="F70" s="23"/>
      <c r="G70" s="574"/>
    </row>
    <row r="71" spans="1:7" x14ac:dyDescent="0.2">
      <c r="A71" s="12"/>
      <c r="B71" s="7"/>
      <c r="C71" s="7" t="s">
        <v>327</v>
      </c>
      <c r="D71" s="7"/>
      <c r="E71" s="575"/>
      <c r="F71" s="23"/>
      <c r="G71" s="575"/>
    </row>
    <row r="72" spans="1:7" x14ac:dyDescent="0.2">
      <c r="A72" s="12">
        <v>560.04999999999995</v>
      </c>
      <c r="B72" s="7"/>
      <c r="C72" s="7" t="s">
        <v>152</v>
      </c>
      <c r="D72" s="7"/>
      <c r="E72" s="574">
        <v>4500</v>
      </c>
      <c r="F72" s="23"/>
      <c r="G72" s="574">
        <v>4500</v>
      </c>
    </row>
    <row r="73" spans="1:7" x14ac:dyDescent="0.2">
      <c r="A73" s="12">
        <v>560.1</v>
      </c>
      <c r="B73" s="7"/>
      <c r="C73" s="7" t="s">
        <v>859</v>
      </c>
      <c r="D73" s="7"/>
      <c r="E73" s="574">
        <v>1300</v>
      </c>
      <c r="F73" s="23"/>
      <c r="G73" s="574">
        <v>1300</v>
      </c>
    </row>
    <row r="74" spans="1:7" x14ac:dyDescent="0.2">
      <c r="A74" s="12">
        <v>560.11</v>
      </c>
      <c r="B74" s="7"/>
      <c r="C74" s="7" t="s">
        <v>328</v>
      </c>
      <c r="D74" s="7"/>
      <c r="E74" s="574">
        <v>1800</v>
      </c>
      <c r="F74" s="23"/>
      <c r="G74" s="574">
        <v>1800</v>
      </c>
    </row>
    <row r="75" spans="1:7" x14ac:dyDescent="0.2">
      <c r="A75" s="7"/>
      <c r="B75" s="7"/>
      <c r="C75" s="7"/>
      <c r="D75" s="7"/>
      <c r="E75" s="574"/>
      <c r="F75" s="23"/>
      <c r="G75" s="574"/>
    </row>
    <row r="76" spans="1:7" x14ac:dyDescent="0.2">
      <c r="A76" s="7">
        <v>580.09</v>
      </c>
      <c r="B76" s="7"/>
      <c r="C76" s="7" t="s">
        <v>154</v>
      </c>
      <c r="D76" s="7"/>
      <c r="E76" s="574">
        <v>1000</v>
      </c>
      <c r="F76" s="23"/>
      <c r="G76" s="574">
        <v>1000</v>
      </c>
    </row>
    <row r="77" spans="1:7" x14ac:dyDescent="0.2">
      <c r="A77" s="12">
        <v>580.20000000000005</v>
      </c>
      <c r="B77" s="7"/>
      <c r="C77" s="7" t="s">
        <v>869</v>
      </c>
      <c r="D77" s="7"/>
      <c r="E77" s="574"/>
      <c r="F77" s="23"/>
      <c r="G77" s="574">
        <v>10000</v>
      </c>
    </row>
    <row r="78" spans="1:7" x14ac:dyDescent="0.2">
      <c r="A78" s="7"/>
      <c r="B78" s="7"/>
      <c r="C78" s="7"/>
      <c r="D78" s="7"/>
      <c r="E78" s="574"/>
      <c r="F78" s="23"/>
      <c r="G78" s="574"/>
    </row>
    <row r="79" spans="1:7" x14ac:dyDescent="0.2">
      <c r="A79" s="7">
        <v>590.01</v>
      </c>
      <c r="B79" s="7"/>
      <c r="C79" s="7" t="s">
        <v>860</v>
      </c>
      <c r="D79" s="7"/>
      <c r="E79" s="574">
        <v>1000</v>
      </c>
      <c r="F79" s="23"/>
      <c r="G79" s="574">
        <v>3000</v>
      </c>
    </row>
    <row r="80" spans="1:7" x14ac:dyDescent="0.2">
      <c r="A80" s="7">
        <v>590.02</v>
      </c>
      <c r="B80" s="7"/>
      <c r="C80" s="7" t="s">
        <v>671</v>
      </c>
      <c r="D80" s="7"/>
      <c r="E80" s="574">
        <v>3500</v>
      </c>
      <c r="F80" s="23"/>
      <c r="G80" s="574">
        <v>3500</v>
      </c>
    </row>
    <row r="81" spans="1:7" x14ac:dyDescent="0.2">
      <c r="A81" s="7"/>
      <c r="B81" s="7"/>
      <c r="C81" s="7"/>
      <c r="D81" s="7"/>
      <c r="E81" s="574"/>
      <c r="F81" s="23"/>
      <c r="G81" s="574"/>
    </row>
    <row r="82" spans="1:7" x14ac:dyDescent="0.2">
      <c r="A82" s="7">
        <v>610.01</v>
      </c>
      <c r="B82" s="7"/>
      <c r="C82" s="460" t="s">
        <v>157</v>
      </c>
      <c r="D82" s="7"/>
      <c r="E82" s="574">
        <v>201000</v>
      </c>
      <c r="F82" s="23"/>
      <c r="G82" s="574">
        <v>260000</v>
      </c>
    </row>
    <row r="83" spans="1:7" x14ac:dyDescent="0.2">
      <c r="A83" s="7"/>
      <c r="B83" s="7"/>
      <c r="C83" s="7" t="s">
        <v>568</v>
      </c>
      <c r="D83" s="7"/>
      <c r="E83" s="574"/>
      <c r="F83" s="23"/>
      <c r="G83" s="574"/>
    </row>
    <row r="84" spans="1:7" x14ac:dyDescent="0.2">
      <c r="A84" s="7"/>
      <c r="B84" s="7"/>
      <c r="C84" s="7" t="s">
        <v>660</v>
      </c>
      <c r="D84" s="7"/>
      <c r="E84" s="574"/>
      <c r="F84" s="23"/>
      <c r="G84" s="574"/>
    </row>
    <row r="85" spans="1:7" x14ac:dyDescent="0.2">
      <c r="A85" s="7"/>
      <c r="B85" s="7"/>
      <c r="C85" s="7" t="s">
        <v>951</v>
      </c>
      <c r="D85" s="7"/>
      <c r="E85" s="574"/>
      <c r="F85" s="23"/>
      <c r="G85" s="574"/>
    </row>
    <row r="86" spans="1:7" x14ac:dyDescent="0.2">
      <c r="A86" s="7">
        <v>610.02</v>
      </c>
      <c r="B86" s="7"/>
      <c r="C86" s="7" t="s">
        <v>329</v>
      </c>
      <c r="D86" s="7"/>
      <c r="E86" s="574">
        <v>684000</v>
      </c>
      <c r="F86" s="23"/>
      <c r="G86" s="574">
        <v>684000</v>
      </c>
    </row>
    <row r="87" spans="1:7" x14ac:dyDescent="0.2">
      <c r="A87" s="7">
        <v>610.03</v>
      </c>
      <c r="B87" s="7"/>
      <c r="C87" s="7" t="s">
        <v>861</v>
      </c>
      <c r="D87" s="7"/>
      <c r="E87" s="576">
        <f>SUM(110000*1.1)</f>
        <v>121000.00000000001</v>
      </c>
      <c r="F87" s="23"/>
      <c r="G87" s="576">
        <v>121000</v>
      </c>
    </row>
    <row r="88" spans="1:7" x14ac:dyDescent="0.2">
      <c r="A88" s="7">
        <v>610.05999999999995</v>
      </c>
      <c r="B88" s="7"/>
      <c r="C88" s="7" t="s">
        <v>744</v>
      </c>
      <c r="D88" s="7"/>
      <c r="E88" s="574">
        <v>6821</v>
      </c>
      <c r="F88" s="23"/>
      <c r="G88" s="574">
        <v>6821</v>
      </c>
    </row>
    <row r="89" spans="1:7" x14ac:dyDescent="0.2">
      <c r="A89" s="7">
        <v>610.07000000000005</v>
      </c>
      <c r="B89" s="7"/>
      <c r="C89" s="7" t="s">
        <v>862</v>
      </c>
      <c r="D89" s="7"/>
      <c r="E89" s="574">
        <v>5000</v>
      </c>
      <c r="F89" s="23"/>
      <c r="G89" s="574">
        <v>5000</v>
      </c>
    </row>
    <row r="90" spans="1:7" x14ac:dyDescent="0.2">
      <c r="A90" s="7">
        <v>610.08000000000004</v>
      </c>
      <c r="B90" s="7"/>
      <c r="C90" s="7" t="s">
        <v>863</v>
      </c>
      <c r="D90" s="7"/>
      <c r="E90" s="574">
        <v>21000</v>
      </c>
      <c r="F90" s="23"/>
      <c r="G90" s="574">
        <v>5000</v>
      </c>
    </row>
    <row r="91" spans="1:7" x14ac:dyDescent="0.2">
      <c r="A91" s="12">
        <v>610.1</v>
      </c>
      <c r="B91" s="7"/>
      <c r="C91" s="7" t="s">
        <v>864</v>
      </c>
      <c r="D91" s="7"/>
      <c r="E91" s="574">
        <v>96000</v>
      </c>
      <c r="F91" s="23"/>
      <c r="G91" s="574">
        <v>96000</v>
      </c>
    </row>
    <row r="92" spans="1:7" x14ac:dyDescent="0.2">
      <c r="A92" s="7">
        <v>610.11</v>
      </c>
      <c r="B92" s="7"/>
      <c r="C92" s="7" t="s">
        <v>865</v>
      </c>
      <c r="D92" s="7"/>
      <c r="E92" s="574">
        <v>61000</v>
      </c>
      <c r="F92" s="23"/>
      <c r="G92" s="574">
        <v>55000</v>
      </c>
    </row>
    <row r="93" spans="1:7" x14ac:dyDescent="0.2">
      <c r="A93" s="7">
        <v>610.12</v>
      </c>
      <c r="B93" s="7"/>
      <c r="C93" s="7" t="s">
        <v>866</v>
      </c>
      <c r="D93" s="7"/>
      <c r="E93" s="574">
        <v>4250</v>
      </c>
      <c r="F93" s="23"/>
      <c r="G93" s="574">
        <v>5000</v>
      </c>
    </row>
    <row r="94" spans="1:7" x14ac:dyDescent="0.2">
      <c r="A94" s="7">
        <v>610.13</v>
      </c>
      <c r="B94" s="7"/>
      <c r="C94" s="7" t="s">
        <v>69</v>
      </c>
      <c r="D94" s="7"/>
      <c r="E94" s="574">
        <v>254783</v>
      </c>
      <c r="F94" s="23"/>
      <c r="G94" s="574">
        <v>100000</v>
      </c>
    </row>
    <row r="95" spans="1:7" x14ac:dyDescent="0.2">
      <c r="A95" s="7"/>
      <c r="B95" s="7"/>
      <c r="C95" s="7"/>
      <c r="D95" s="7"/>
      <c r="E95" s="10"/>
      <c r="G95" s="10"/>
    </row>
    <row r="96" spans="1:7" x14ac:dyDescent="0.2">
      <c r="A96" s="7"/>
      <c r="B96" s="7"/>
      <c r="C96" s="7"/>
      <c r="D96" s="7"/>
      <c r="E96" s="10"/>
      <c r="G96" s="10"/>
    </row>
    <row r="97" spans="1:7" x14ac:dyDescent="0.2">
      <c r="A97" s="7"/>
      <c r="B97" s="7"/>
      <c r="C97" s="7"/>
      <c r="D97" s="7"/>
      <c r="E97" s="10"/>
      <c r="G97" s="10"/>
    </row>
    <row r="98" spans="1:7" x14ac:dyDescent="0.2">
      <c r="A98" s="7"/>
      <c r="B98" s="7"/>
      <c r="C98" s="7"/>
      <c r="D98" s="7"/>
      <c r="E98" s="10"/>
      <c r="G98" s="10"/>
    </row>
    <row r="99" spans="1:7" x14ac:dyDescent="0.2">
      <c r="A99" s="7"/>
      <c r="B99" s="7"/>
      <c r="C99" s="7"/>
      <c r="D99" s="7"/>
      <c r="E99" s="10"/>
      <c r="G99" s="10"/>
    </row>
    <row r="100" spans="1:7" x14ac:dyDescent="0.2">
      <c r="A100" s="7"/>
      <c r="B100" s="7"/>
      <c r="C100" s="13"/>
      <c r="D100" s="13"/>
      <c r="E100" s="14"/>
      <c r="G100" s="14"/>
    </row>
    <row r="101" spans="1:7" x14ac:dyDescent="0.2">
      <c r="A101" s="13"/>
      <c r="B101" s="13"/>
      <c r="C101" s="13"/>
      <c r="D101" s="13"/>
      <c r="E101" s="14"/>
      <c r="G101" s="14"/>
    </row>
    <row r="102" spans="1:7" x14ac:dyDescent="0.2">
      <c r="A102" s="13"/>
      <c r="B102" s="13"/>
      <c r="C102" s="13"/>
      <c r="D102" s="13"/>
      <c r="E102" s="14"/>
      <c r="G102" s="14"/>
    </row>
    <row r="103" spans="1:7" x14ac:dyDescent="0.2">
      <c r="A103" s="13"/>
      <c r="B103" s="13"/>
      <c r="C103" s="13"/>
      <c r="D103" s="13"/>
      <c r="E103" s="14"/>
      <c r="G103" s="14"/>
    </row>
    <row r="104" spans="1:7" x14ac:dyDescent="0.2">
      <c r="A104" s="13"/>
      <c r="B104" s="13"/>
      <c r="C104" s="13"/>
      <c r="D104" s="13"/>
      <c r="E104" s="14"/>
      <c r="G104" s="14"/>
    </row>
    <row r="105" spans="1:7" x14ac:dyDescent="0.2">
      <c r="A105" s="13"/>
      <c r="B105" s="13"/>
      <c r="C105" s="13"/>
      <c r="D105" s="13"/>
      <c r="E105" s="14"/>
      <c r="G105" s="14"/>
    </row>
    <row r="106" spans="1:7" x14ac:dyDescent="0.2">
      <c r="A106" s="13"/>
      <c r="B106" s="13"/>
      <c r="C106" s="13"/>
      <c r="D106" s="13"/>
      <c r="E106" s="13"/>
      <c r="G106" s="13"/>
    </row>
    <row r="107" spans="1:7" x14ac:dyDescent="0.2">
      <c r="A107" s="13"/>
      <c r="B107" s="13"/>
      <c r="C107" s="13"/>
      <c r="D107" s="13"/>
      <c r="E107" s="13"/>
      <c r="G107" s="13"/>
    </row>
    <row r="108" spans="1:7" x14ac:dyDescent="0.2">
      <c r="A108" s="13"/>
      <c r="B108" s="13"/>
      <c r="C108" s="13"/>
      <c r="D108" s="13"/>
      <c r="E108" s="13"/>
      <c r="G108" s="13"/>
    </row>
    <row r="109" spans="1:7" x14ac:dyDescent="0.2">
      <c r="A109" s="13"/>
      <c r="B109" s="13"/>
      <c r="C109" s="13"/>
      <c r="D109" s="13"/>
      <c r="E109" s="13"/>
      <c r="G109" s="13"/>
    </row>
    <row r="110" spans="1:7" x14ac:dyDescent="0.2">
      <c r="A110" s="13"/>
      <c r="B110" s="13"/>
      <c r="C110" s="13"/>
      <c r="D110" s="13"/>
      <c r="E110" s="13"/>
      <c r="G110" s="13"/>
    </row>
    <row r="111" spans="1:7" x14ac:dyDescent="0.2">
      <c r="A111" s="13"/>
      <c r="B111" s="13"/>
      <c r="C111" s="13"/>
      <c r="D111" s="13"/>
      <c r="E111" s="13"/>
      <c r="G111" s="13"/>
    </row>
    <row r="112" spans="1:7" x14ac:dyDescent="0.2">
      <c r="A112" s="13"/>
      <c r="B112" s="13"/>
      <c r="C112" s="13"/>
      <c r="D112" s="13"/>
      <c r="E112" s="13"/>
      <c r="G112" s="13"/>
    </row>
    <row r="113" spans="1:7" x14ac:dyDescent="0.2">
      <c r="A113" s="13"/>
      <c r="B113" s="13"/>
      <c r="C113" s="13"/>
      <c r="D113" s="13"/>
      <c r="E113" s="13"/>
      <c r="G113" s="13"/>
    </row>
    <row r="114" spans="1:7" x14ac:dyDescent="0.2">
      <c r="A114" s="13"/>
      <c r="B114" s="13"/>
      <c r="C114" s="13"/>
      <c r="D114" s="13"/>
      <c r="E114" s="13"/>
      <c r="G114" s="13"/>
    </row>
    <row r="115" spans="1:7" x14ac:dyDescent="0.2">
      <c r="A115" s="13"/>
      <c r="B115" s="13"/>
    </row>
  </sheetData>
  <phoneticPr fontId="0" type="noConversion"/>
  <printOptions headings="1" gridLines="1"/>
  <pageMargins left="0.75" right="0.75" top="1" bottom="1" header="0.5" footer="0.5"/>
  <pageSetup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6"/>
  <sheetViews>
    <sheetView topLeftCell="A21" zoomScaleNormal="100" workbookViewId="0">
      <selection activeCell="L39" sqref="L39"/>
    </sheetView>
  </sheetViews>
  <sheetFormatPr defaultRowHeight="12.75" x14ac:dyDescent="0.2"/>
  <cols>
    <col min="3" max="3" width="9.140625" hidden="1" customWidth="1"/>
    <col min="4" max="4" width="9.140625" customWidth="1"/>
    <col min="8" max="8" width="10.140625" style="70" bestFit="1" customWidth="1"/>
    <col min="10" max="10" width="10.140625" style="60" bestFit="1" customWidth="1"/>
  </cols>
  <sheetData>
    <row r="2" spans="1:10" x14ac:dyDescent="0.2">
      <c r="A2" t="s">
        <v>330</v>
      </c>
    </row>
    <row r="4" spans="1:10" x14ac:dyDescent="0.2">
      <c r="A4" t="s">
        <v>304</v>
      </c>
      <c r="B4" t="s">
        <v>305</v>
      </c>
      <c r="H4" s="71"/>
    </row>
    <row r="5" spans="1:10" x14ac:dyDescent="0.2">
      <c r="A5" t="s">
        <v>306</v>
      </c>
      <c r="B5" t="s">
        <v>339</v>
      </c>
      <c r="H5" s="527"/>
    </row>
    <row r="6" spans="1:10" x14ac:dyDescent="0.2">
      <c r="E6" s="25" t="s">
        <v>718</v>
      </c>
      <c r="F6" s="25"/>
      <c r="H6" s="25" t="s">
        <v>783</v>
      </c>
    </row>
    <row r="7" spans="1:10" x14ac:dyDescent="0.2">
      <c r="A7" s="15" t="s">
        <v>331</v>
      </c>
      <c r="E7" s="16" t="s">
        <v>333</v>
      </c>
      <c r="F7" s="16"/>
      <c r="H7" s="72" t="s">
        <v>712</v>
      </c>
      <c r="J7" s="67"/>
    </row>
    <row r="9" spans="1:10" x14ac:dyDescent="0.2">
      <c r="A9" t="s">
        <v>353</v>
      </c>
      <c r="C9" s="24" t="s">
        <v>710</v>
      </c>
      <c r="E9" s="17">
        <v>75000</v>
      </c>
      <c r="F9" s="17"/>
      <c r="G9" s="17"/>
      <c r="H9" s="51">
        <v>75000</v>
      </c>
    </row>
    <row r="10" spans="1:10" x14ac:dyDescent="0.2">
      <c r="E10" s="17"/>
      <c r="F10" s="17"/>
      <c r="G10" s="17"/>
      <c r="H10" s="51"/>
    </row>
    <row r="11" spans="1:10" x14ac:dyDescent="0.2">
      <c r="A11" s="24" t="s">
        <v>699</v>
      </c>
      <c r="C11" s="24" t="s">
        <v>698</v>
      </c>
      <c r="E11" s="17">
        <v>58490</v>
      </c>
      <c r="F11" s="17"/>
      <c r="G11" s="17"/>
      <c r="H11" s="51">
        <f>58490*103%</f>
        <v>60244.700000000004</v>
      </c>
    </row>
    <row r="12" spans="1:10" x14ac:dyDescent="0.2">
      <c r="E12" s="17"/>
      <c r="F12" s="17"/>
      <c r="G12" s="17"/>
      <c r="H12" s="51"/>
    </row>
    <row r="13" spans="1:10" x14ac:dyDescent="0.2">
      <c r="A13" s="24" t="s">
        <v>354</v>
      </c>
      <c r="C13" s="24" t="s">
        <v>701</v>
      </c>
      <c r="E13" s="17">
        <v>58490</v>
      </c>
      <c r="F13" s="17"/>
      <c r="G13" s="17"/>
      <c r="H13" s="51">
        <f>58490*103%</f>
        <v>60244.700000000004</v>
      </c>
    </row>
    <row r="14" spans="1:10" x14ac:dyDescent="0.2">
      <c r="E14" s="17"/>
      <c r="F14" s="17"/>
      <c r="G14" s="17"/>
      <c r="H14" s="51"/>
    </row>
    <row r="15" spans="1:10" x14ac:dyDescent="0.2">
      <c r="A15" t="s">
        <v>570</v>
      </c>
      <c r="C15" s="24" t="s">
        <v>700</v>
      </c>
      <c r="E15" s="17">
        <v>58490</v>
      </c>
      <c r="F15" s="17"/>
      <c r="G15" s="17"/>
      <c r="H15" s="51">
        <f>58490*103%</f>
        <v>60244.700000000004</v>
      </c>
    </row>
    <row r="16" spans="1:10" x14ac:dyDescent="0.2">
      <c r="E16" s="17"/>
      <c r="F16" s="17"/>
      <c r="G16" s="17"/>
      <c r="H16" s="51"/>
    </row>
    <row r="17" spans="1:10" x14ac:dyDescent="0.2">
      <c r="A17" t="s">
        <v>355</v>
      </c>
      <c r="C17" s="24" t="s">
        <v>702</v>
      </c>
      <c r="E17" s="17">
        <v>53186</v>
      </c>
      <c r="F17" s="17"/>
      <c r="G17" s="17"/>
      <c r="H17" s="51">
        <f>53186*103%</f>
        <v>54781.58</v>
      </c>
      <c r="I17" s="24"/>
    </row>
    <row r="18" spans="1:10" x14ac:dyDescent="0.2">
      <c r="E18" s="17"/>
      <c r="F18" s="17"/>
      <c r="G18" s="17"/>
      <c r="H18" s="51"/>
    </row>
    <row r="19" spans="1:10" x14ac:dyDescent="0.2">
      <c r="A19" t="s">
        <v>355</v>
      </c>
      <c r="C19" s="24" t="s">
        <v>703</v>
      </c>
      <c r="E19" s="17">
        <v>53186</v>
      </c>
      <c r="F19" s="17"/>
      <c r="G19" s="17"/>
      <c r="H19" s="51">
        <f>53186*103%</f>
        <v>54781.58</v>
      </c>
    </row>
    <row r="20" spans="1:10" x14ac:dyDescent="0.2">
      <c r="E20" s="17"/>
      <c r="F20" s="17"/>
      <c r="G20" s="17"/>
      <c r="H20" s="51"/>
    </row>
    <row r="21" spans="1:10" x14ac:dyDescent="0.2">
      <c r="A21" s="24" t="s">
        <v>355</v>
      </c>
      <c r="C21" s="24" t="s">
        <v>708</v>
      </c>
      <c r="E21" s="17">
        <v>53186</v>
      </c>
      <c r="F21" s="17"/>
      <c r="G21" s="17"/>
      <c r="H21" s="51">
        <f>53186*103%</f>
        <v>54781.58</v>
      </c>
    </row>
    <row r="22" spans="1:10" x14ac:dyDescent="0.2">
      <c r="E22" s="17"/>
      <c r="F22" s="17"/>
      <c r="G22" s="17"/>
      <c r="H22" s="51"/>
    </row>
    <row r="23" spans="1:10" x14ac:dyDescent="0.2">
      <c r="A23" t="s">
        <v>356</v>
      </c>
      <c r="C23" s="24" t="s">
        <v>705</v>
      </c>
      <c r="E23" s="17">
        <v>46860</v>
      </c>
      <c r="F23" s="17"/>
      <c r="G23" s="17"/>
      <c r="H23" s="51">
        <f>E23*103%</f>
        <v>48265.8</v>
      </c>
      <c r="I23" s="24"/>
      <c r="J23" s="51"/>
    </row>
    <row r="24" spans="1:10" x14ac:dyDescent="0.2">
      <c r="E24" s="17"/>
      <c r="F24" s="17"/>
      <c r="G24" s="17"/>
      <c r="H24" s="51"/>
    </row>
    <row r="25" spans="1:10" x14ac:dyDescent="0.2">
      <c r="A25" t="s">
        <v>357</v>
      </c>
      <c r="C25" s="24" t="s">
        <v>704</v>
      </c>
      <c r="E25" s="17">
        <v>47840</v>
      </c>
      <c r="F25" s="17"/>
      <c r="G25" s="17"/>
      <c r="H25" s="51">
        <f>E25*103%</f>
        <v>49275.200000000004</v>
      </c>
      <c r="I25" s="24"/>
    </row>
    <row r="26" spans="1:10" x14ac:dyDescent="0.2">
      <c r="C26" s="24"/>
      <c r="E26" s="17"/>
      <c r="F26" s="17"/>
      <c r="G26" s="17"/>
      <c r="H26" s="51"/>
    </row>
    <row r="27" spans="1:10" x14ac:dyDescent="0.2">
      <c r="A27" s="24" t="s">
        <v>357</v>
      </c>
      <c r="C27" s="24" t="s">
        <v>706</v>
      </c>
      <c r="E27" s="17">
        <v>48943</v>
      </c>
      <c r="F27" s="17"/>
      <c r="G27" s="17"/>
      <c r="H27" s="51">
        <f>E27*103%</f>
        <v>50411.29</v>
      </c>
      <c r="I27" s="24"/>
    </row>
    <row r="28" spans="1:10" x14ac:dyDescent="0.2">
      <c r="E28" s="17"/>
      <c r="F28" s="17"/>
      <c r="G28" s="17"/>
      <c r="H28" s="51"/>
    </row>
    <row r="29" spans="1:10" x14ac:dyDescent="0.2">
      <c r="A29" t="s">
        <v>357</v>
      </c>
      <c r="C29" s="24" t="s">
        <v>707</v>
      </c>
      <c r="E29" s="17">
        <v>52000</v>
      </c>
      <c r="F29" s="17"/>
      <c r="G29" s="17"/>
      <c r="H29" s="51">
        <f>E29*103%</f>
        <v>53560</v>
      </c>
      <c r="I29" s="24"/>
    </row>
    <row r="30" spans="1:10" x14ac:dyDescent="0.2">
      <c r="E30" s="17"/>
      <c r="F30" s="17"/>
      <c r="G30" s="17"/>
      <c r="H30" s="51"/>
    </row>
    <row r="31" spans="1:10" x14ac:dyDescent="0.2">
      <c r="A31" s="24" t="s">
        <v>806</v>
      </c>
      <c r="E31" s="17">
        <v>38480</v>
      </c>
      <c r="F31" s="17"/>
      <c r="G31" s="17"/>
      <c r="H31" s="52">
        <f>38480*103%</f>
        <v>39634.400000000001</v>
      </c>
    </row>
    <row r="33" spans="1:10" x14ac:dyDescent="0.2">
      <c r="A33" t="s">
        <v>358</v>
      </c>
      <c r="C33" s="24" t="s">
        <v>709</v>
      </c>
      <c r="E33" s="17">
        <v>38397</v>
      </c>
      <c r="F33" s="17"/>
      <c r="G33" s="17"/>
      <c r="H33" s="51">
        <f>38397*103%</f>
        <v>39548.910000000003</v>
      </c>
      <c r="I33" s="59"/>
    </row>
    <row r="34" spans="1:10" x14ac:dyDescent="0.2">
      <c r="E34" s="17"/>
      <c r="F34" s="17"/>
      <c r="G34" s="17"/>
      <c r="H34" s="51"/>
      <c r="I34" s="59"/>
    </row>
    <row r="35" spans="1:10" x14ac:dyDescent="0.2">
      <c r="G35" t="s">
        <v>899</v>
      </c>
      <c r="H35" s="70">
        <f>SUM(H9:H33)</f>
        <v>700774.44000000018</v>
      </c>
    </row>
    <row r="36" spans="1:10" x14ac:dyDescent="0.2">
      <c r="A36" s="24" t="s">
        <v>711</v>
      </c>
      <c r="E36" s="57">
        <v>2564.4</v>
      </c>
      <c r="F36" s="58"/>
      <c r="G36" s="58"/>
      <c r="H36" s="73">
        <f>H35*0.05</f>
        <v>35038.722000000009</v>
      </c>
    </row>
    <row r="37" spans="1:10" x14ac:dyDescent="0.2">
      <c r="A37" s="24"/>
      <c r="B37" s="24" t="s">
        <v>713</v>
      </c>
      <c r="E37" s="58">
        <f>SUM(E5:E36)</f>
        <v>685112.4</v>
      </c>
      <c r="F37" s="58"/>
      <c r="G37" s="58"/>
      <c r="H37" s="74">
        <f>SUM(H35:H36)</f>
        <v>735813.16200000024</v>
      </c>
    </row>
    <row r="39" spans="1:10" x14ac:dyDescent="0.2">
      <c r="E39" s="17"/>
      <c r="F39" s="17"/>
      <c r="G39" s="17"/>
      <c r="H39" s="51"/>
      <c r="J39" s="58"/>
    </row>
    <row r="40" spans="1:10" x14ac:dyDescent="0.2">
      <c r="A40" t="s">
        <v>336</v>
      </c>
      <c r="E40" s="583">
        <f>SUM(E37:E39)</f>
        <v>685112.4</v>
      </c>
      <c r="F40" s="58"/>
      <c r="G40" s="58"/>
      <c r="H40" s="75">
        <f>SUM(H37:H39)</f>
        <v>735813.16200000024</v>
      </c>
      <c r="I40" s="58"/>
    </row>
    <row r="41" spans="1:10" x14ac:dyDescent="0.2">
      <c r="E41" s="59"/>
    </row>
    <row r="42" spans="1:10" x14ac:dyDescent="0.2">
      <c r="A42" s="24"/>
      <c r="E42" s="60"/>
    </row>
    <row r="43" spans="1:10" x14ac:dyDescent="0.2">
      <c r="E43" s="59"/>
    </row>
    <row r="44" spans="1:10" x14ac:dyDescent="0.2">
      <c r="A44" s="24"/>
    </row>
    <row r="45" spans="1:10" x14ac:dyDescent="0.2">
      <c r="A45" s="24"/>
    </row>
    <row r="46" spans="1:10" x14ac:dyDescent="0.2">
      <c r="A46" s="24"/>
    </row>
  </sheetData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topLeftCell="A2" zoomScaleNormal="100" workbookViewId="0">
      <selection activeCell="H2" sqref="H2"/>
    </sheetView>
  </sheetViews>
  <sheetFormatPr defaultRowHeight="12.75" x14ac:dyDescent="0.2"/>
  <cols>
    <col min="3" max="3" width="42.28515625" customWidth="1"/>
  </cols>
  <sheetData>
    <row r="1" spans="1:6" x14ac:dyDescent="0.2">
      <c r="A1" s="7" t="s">
        <v>303</v>
      </c>
      <c r="B1" s="7"/>
      <c r="C1" s="7"/>
      <c r="D1" s="7"/>
      <c r="E1" s="7"/>
      <c r="F1" s="7"/>
    </row>
    <row r="2" spans="1:6" x14ac:dyDescent="0.2">
      <c r="A2" s="7"/>
      <c r="B2" s="7"/>
      <c r="C2" s="7"/>
      <c r="D2" s="7"/>
      <c r="E2" s="7"/>
      <c r="F2" s="7"/>
    </row>
    <row r="3" spans="1:6" x14ac:dyDescent="0.2">
      <c r="A3" s="7" t="s">
        <v>304</v>
      </c>
      <c r="B3" s="7"/>
      <c r="C3" s="7" t="s">
        <v>305</v>
      </c>
      <c r="D3" s="7"/>
    </row>
    <row r="4" spans="1:6" x14ac:dyDescent="0.2">
      <c r="A4" s="7" t="s">
        <v>306</v>
      </c>
      <c r="B4" s="7"/>
      <c r="C4" s="7" t="s">
        <v>339</v>
      </c>
      <c r="D4" s="7"/>
    </row>
    <row r="5" spans="1:6" x14ac:dyDescent="0.2">
      <c r="A5" s="7"/>
      <c r="B5" s="7"/>
      <c r="C5" s="7"/>
      <c r="D5" s="7"/>
      <c r="E5" s="7" t="s">
        <v>658</v>
      </c>
      <c r="F5" s="7" t="s">
        <v>717</v>
      </c>
    </row>
    <row r="6" spans="1:6" x14ac:dyDescent="0.2">
      <c r="A6" s="8" t="s">
        <v>308</v>
      </c>
      <c r="B6" s="7"/>
      <c r="C6" s="9" t="s">
        <v>309</v>
      </c>
      <c r="D6" s="7"/>
      <c r="E6" s="9" t="s">
        <v>310</v>
      </c>
      <c r="F6" s="9" t="s">
        <v>781</v>
      </c>
    </row>
    <row r="8" spans="1:6" x14ac:dyDescent="0.2">
      <c r="A8">
        <v>510.03</v>
      </c>
      <c r="C8" s="7" t="s">
        <v>884</v>
      </c>
      <c r="E8" s="10">
        <v>5000</v>
      </c>
      <c r="F8" s="10">
        <v>5000</v>
      </c>
    </row>
    <row r="9" spans="1:6" x14ac:dyDescent="0.2">
      <c r="A9" s="12">
        <v>510.05</v>
      </c>
      <c r="B9" s="7"/>
      <c r="C9" s="7" t="s">
        <v>816</v>
      </c>
      <c r="D9" s="7"/>
      <c r="E9" s="10">
        <f>13*7928</f>
        <v>103064</v>
      </c>
      <c r="F9" s="10">
        <v>145646</v>
      </c>
    </row>
    <row r="10" spans="1:6" x14ac:dyDescent="0.2">
      <c r="A10" s="12"/>
      <c r="B10" s="7"/>
      <c r="C10" s="7" t="s">
        <v>817</v>
      </c>
      <c r="D10" s="7"/>
      <c r="E10" s="10"/>
      <c r="F10" s="509"/>
    </row>
    <row r="11" spans="1:6" x14ac:dyDescent="0.2">
      <c r="A11" s="12"/>
      <c r="B11" s="7"/>
      <c r="C11" s="7" t="s">
        <v>818</v>
      </c>
      <c r="D11" s="7"/>
      <c r="E11" s="10"/>
      <c r="F11" s="509"/>
    </row>
    <row r="12" spans="1:6" x14ac:dyDescent="0.2">
      <c r="A12" s="12"/>
      <c r="B12" s="7"/>
      <c r="C12" s="7" t="s">
        <v>819</v>
      </c>
      <c r="D12" s="7"/>
      <c r="E12" s="10"/>
      <c r="F12" s="509"/>
    </row>
    <row r="13" spans="1:6" x14ac:dyDescent="0.2">
      <c r="A13" s="12"/>
      <c r="B13" s="7"/>
      <c r="C13" s="7" t="s">
        <v>785</v>
      </c>
      <c r="D13" s="7"/>
      <c r="E13" s="11"/>
      <c r="F13" s="510"/>
    </row>
    <row r="14" spans="1:6" x14ac:dyDescent="0.2">
      <c r="A14" s="12"/>
      <c r="B14" s="7"/>
      <c r="C14" s="7"/>
      <c r="D14" s="7"/>
      <c r="E14" s="10"/>
      <c r="F14" s="459"/>
    </row>
    <row r="15" spans="1:6" x14ac:dyDescent="0.2">
      <c r="A15" s="12">
        <v>510.06</v>
      </c>
      <c r="B15" s="7"/>
      <c r="C15" s="7" t="s">
        <v>317</v>
      </c>
      <c r="D15" s="7"/>
      <c r="E15" s="10">
        <f>((+'Personnel Sched-PD'!H40*1.03)*0.0765)</f>
        <v>57978.398099790014</v>
      </c>
      <c r="F15" s="10">
        <v>56290</v>
      </c>
    </row>
    <row r="16" spans="1:6" x14ac:dyDescent="0.2">
      <c r="A16" s="12">
        <v>510.07</v>
      </c>
      <c r="B16" s="7"/>
      <c r="C16" s="7" t="s">
        <v>782</v>
      </c>
      <c r="D16" s="7"/>
      <c r="E16" s="10">
        <f>(+'Personnel Sched-PD'!H40*0.0464)</f>
        <v>34141.730716800012</v>
      </c>
      <c r="F16" s="10">
        <v>34142</v>
      </c>
    </row>
    <row r="17" spans="1:6" s="76" customFormat="1" x14ac:dyDescent="0.2">
      <c r="A17" s="177">
        <v>510.08</v>
      </c>
      <c r="B17" s="178"/>
      <c r="C17" s="178" t="s">
        <v>913</v>
      </c>
      <c r="D17" s="178"/>
      <c r="E17" s="65">
        <f>(('Personnel Sched-PD'!H37*1.03)/100)*2.3</f>
        <v>17431.413807780005</v>
      </c>
      <c r="F17" s="65">
        <v>25000</v>
      </c>
    </row>
    <row r="18" spans="1:6" x14ac:dyDescent="0.2">
      <c r="A18" s="12">
        <v>510.1</v>
      </c>
      <c r="B18" s="7"/>
      <c r="C18" s="7" t="s">
        <v>528</v>
      </c>
      <c r="D18" s="7"/>
      <c r="E18" s="10"/>
      <c r="F18" s="10">
        <v>11500</v>
      </c>
    </row>
    <row r="19" spans="1:6" x14ac:dyDescent="0.2">
      <c r="A19" s="12"/>
      <c r="B19" s="7"/>
      <c r="C19" s="7" t="s">
        <v>900</v>
      </c>
    </row>
    <row r="20" spans="1:6" x14ac:dyDescent="0.2">
      <c r="A20" s="12"/>
      <c r="B20" s="7"/>
      <c r="C20" s="7" t="s">
        <v>901</v>
      </c>
    </row>
    <row r="21" spans="1:6" x14ac:dyDescent="0.2">
      <c r="A21" s="12"/>
      <c r="B21" s="7"/>
      <c r="C21" s="7" t="s">
        <v>902</v>
      </c>
    </row>
    <row r="22" spans="1:6" x14ac:dyDescent="0.2">
      <c r="A22" s="12">
        <v>510.11</v>
      </c>
      <c r="B22" s="7"/>
      <c r="C22" s="7" t="s">
        <v>428</v>
      </c>
      <c r="D22" s="7"/>
      <c r="E22" s="10">
        <v>0</v>
      </c>
      <c r="F22" s="10">
        <v>2600</v>
      </c>
    </row>
    <row r="23" spans="1:6" x14ac:dyDescent="0.2">
      <c r="A23" s="12">
        <v>510.12</v>
      </c>
      <c r="B23" s="7"/>
      <c r="C23" s="7" t="s">
        <v>542</v>
      </c>
      <c r="D23" s="7"/>
      <c r="E23" s="10">
        <v>17100</v>
      </c>
      <c r="F23" s="10">
        <v>15450</v>
      </c>
    </row>
    <row r="24" spans="1:6" x14ac:dyDescent="0.2">
      <c r="A24" s="12"/>
      <c r="B24" s="7"/>
      <c r="C24" s="7"/>
      <c r="D24" s="7"/>
      <c r="E24" s="10"/>
      <c r="F24" s="10"/>
    </row>
    <row r="25" spans="1:6" x14ac:dyDescent="0.2">
      <c r="A25" s="12">
        <v>520.01</v>
      </c>
      <c r="B25" s="7"/>
      <c r="C25" s="7" t="s">
        <v>421</v>
      </c>
      <c r="D25" s="7"/>
      <c r="E25" s="10">
        <v>3000</v>
      </c>
      <c r="F25" s="10">
        <v>4000</v>
      </c>
    </row>
    <row r="26" spans="1:6" x14ac:dyDescent="0.2">
      <c r="A26" s="12">
        <v>520.02</v>
      </c>
      <c r="B26" s="7"/>
      <c r="C26" s="7" t="s">
        <v>166</v>
      </c>
      <c r="D26" s="7"/>
      <c r="E26" s="10">
        <v>400</v>
      </c>
      <c r="F26" s="10">
        <v>400</v>
      </c>
    </row>
    <row r="27" spans="1:6" x14ac:dyDescent="0.2">
      <c r="A27" s="12">
        <v>520.03</v>
      </c>
      <c r="B27" s="7"/>
      <c r="C27" s="7" t="s">
        <v>672</v>
      </c>
      <c r="D27" s="7"/>
      <c r="E27" s="10">
        <v>500</v>
      </c>
      <c r="F27" s="10">
        <v>1000</v>
      </c>
    </row>
    <row r="28" spans="1:6" x14ac:dyDescent="0.2">
      <c r="A28" s="12">
        <v>520.04</v>
      </c>
      <c r="B28" s="7"/>
      <c r="C28" s="7" t="s">
        <v>714</v>
      </c>
      <c r="D28" s="7"/>
      <c r="E28" s="10">
        <v>2500</v>
      </c>
      <c r="F28" s="10">
        <v>8800</v>
      </c>
    </row>
    <row r="29" spans="1:6" x14ac:dyDescent="0.2">
      <c r="A29" s="12"/>
      <c r="B29" s="7"/>
      <c r="C29" s="7" t="s">
        <v>787</v>
      </c>
      <c r="D29" s="7"/>
      <c r="E29" s="65"/>
      <c r="F29" s="65"/>
    </row>
    <row r="30" spans="1:6" x14ac:dyDescent="0.2">
      <c r="A30" s="12"/>
      <c r="B30" s="7"/>
      <c r="C30" s="7" t="s">
        <v>572</v>
      </c>
      <c r="D30" s="7"/>
      <c r="E30" s="10"/>
      <c r="F30" s="509"/>
    </row>
    <row r="31" spans="1:6" x14ac:dyDescent="0.2">
      <c r="A31" s="12"/>
      <c r="B31" s="7"/>
      <c r="C31" s="7" t="s">
        <v>360</v>
      </c>
      <c r="D31" s="7"/>
      <c r="E31" s="528"/>
      <c r="F31" s="510"/>
    </row>
    <row r="32" spans="1:6" x14ac:dyDescent="0.2">
      <c r="A32" s="12"/>
      <c r="B32" s="7"/>
      <c r="C32" s="7" t="s">
        <v>12</v>
      </c>
      <c r="D32" s="7"/>
      <c r="E32" s="459"/>
      <c r="F32" s="459"/>
    </row>
    <row r="33" spans="1:6" x14ac:dyDescent="0.2">
      <c r="A33" s="12">
        <v>520.05999999999995</v>
      </c>
      <c r="B33" s="7"/>
      <c r="C33" s="7" t="s">
        <v>715</v>
      </c>
      <c r="D33" s="7"/>
      <c r="E33" s="10">
        <v>18000</v>
      </c>
      <c r="F33" s="10">
        <v>25000</v>
      </c>
    </row>
    <row r="34" spans="1:6" x14ac:dyDescent="0.2">
      <c r="A34" s="12">
        <v>520.07000000000005</v>
      </c>
      <c r="B34" s="7"/>
      <c r="C34" s="7" t="s">
        <v>192</v>
      </c>
      <c r="D34" s="7"/>
      <c r="E34" s="10">
        <v>2000</v>
      </c>
      <c r="F34" s="10">
        <v>2500</v>
      </c>
    </row>
    <row r="35" spans="1:6" x14ac:dyDescent="0.2">
      <c r="A35" s="12">
        <v>520.08000000000004</v>
      </c>
      <c r="B35" s="7"/>
      <c r="C35" s="7" t="s">
        <v>170</v>
      </c>
      <c r="D35" s="7"/>
      <c r="E35" s="10">
        <v>500</v>
      </c>
      <c r="F35" s="10">
        <v>500</v>
      </c>
    </row>
    <row r="36" spans="1:6" x14ac:dyDescent="0.2">
      <c r="A36" s="12">
        <v>520.09</v>
      </c>
      <c r="B36" s="7"/>
      <c r="C36" s="7" t="s">
        <v>807</v>
      </c>
      <c r="D36" s="7"/>
      <c r="E36" s="10">
        <v>0</v>
      </c>
      <c r="F36" s="10">
        <v>1000</v>
      </c>
    </row>
    <row r="37" spans="1:6" x14ac:dyDescent="0.2">
      <c r="A37" s="12">
        <v>520.1</v>
      </c>
      <c r="B37" s="7"/>
      <c r="C37" s="7" t="s">
        <v>820</v>
      </c>
      <c r="D37" s="7"/>
      <c r="E37" s="10">
        <v>0</v>
      </c>
      <c r="F37" s="10">
        <v>2500</v>
      </c>
    </row>
    <row r="38" spans="1:6" x14ac:dyDescent="0.2">
      <c r="A38" s="12"/>
      <c r="B38" s="7"/>
      <c r="C38" s="7"/>
      <c r="D38" s="7"/>
      <c r="E38" s="10"/>
      <c r="F38" s="10"/>
    </row>
    <row r="39" spans="1:6" x14ac:dyDescent="0.2">
      <c r="A39" s="12">
        <v>530.01</v>
      </c>
      <c r="B39" s="7"/>
      <c r="C39" s="7" t="s">
        <v>139</v>
      </c>
      <c r="D39" s="7"/>
      <c r="E39" s="10">
        <v>21600</v>
      </c>
      <c r="F39" s="10">
        <v>21600</v>
      </c>
    </row>
    <row r="40" spans="1:6" x14ac:dyDescent="0.2">
      <c r="A40" s="12">
        <v>530.02</v>
      </c>
      <c r="B40" s="7"/>
      <c r="C40" s="7" t="s">
        <v>436</v>
      </c>
      <c r="D40" s="7"/>
      <c r="E40" s="10">
        <v>1800</v>
      </c>
      <c r="F40" s="10">
        <v>1800</v>
      </c>
    </row>
    <row r="41" spans="1:6" x14ac:dyDescent="0.2">
      <c r="A41" s="12">
        <v>530.03</v>
      </c>
      <c r="B41" s="7"/>
      <c r="C41" s="7" t="s">
        <v>821</v>
      </c>
      <c r="D41" s="7"/>
      <c r="E41" s="10">
        <v>5500</v>
      </c>
      <c r="F41" s="10">
        <v>5500</v>
      </c>
    </row>
    <row r="42" spans="1:6" x14ac:dyDescent="0.2">
      <c r="A42" s="12">
        <v>530.04</v>
      </c>
      <c r="B42" s="7"/>
      <c r="C42" s="7" t="s">
        <v>809</v>
      </c>
      <c r="D42" s="7"/>
      <c r="E42" s="10"/>
      <c r="F42" s="10">
        <v>3000</v>
      </c>
    </row>
    <row r="43" spans="1:6" x14ac:dyDescent="0.2">
      <c r="A43" s="12">
        <v>530.04999999999995</v>
      </c>
      <c r="B43" s="7"/>
      <c r="C43" s="7" t="s">
        <v>18</v>
      </c>
      <c r="D43" s="7"/>
      <c r="E43" s="10">
        <v>300</v>
      </c>
      <c r="F43" s="10">
        <v>750</v>
      </c>
    </row>
    <row r="44" spans="1:6" x14ac:dyDescent="0.2">
      <c r="A44" s="12">
        <v>530.05999999999995</v>
      </c>
      <c r="B44" s="7"/>
      <c r="C44" s="7" t="s">
        <v>811</v>
      </c>
      <c r="D44" s="7"/>
      <c r="E44" s="10"/>
      <c r="F44" s="10">
        <v>1000</v>
      </c>
    </row>
    <row r="45" spans="1:6" x14ac:dyDescent="0.2">
      <c r="A45" s="12">
        <v>530.11</v>
      </c>
      <c r="B45" s="7"/>
      <c r="C45" s="7" t="s">
        <v>2</v>
      </c>
      <c r="D45" s="7"/>
      <c r="E45" s="10">
        <v>6000</v>
      </c>
      <c r="F45" s="10">
        <v>6000</v>
      </c>
    </row>
    <row r="46" spans="1:6" x14ac:dyDescent="0.2">
      <c r="A46" s="12"/>
      <c r="B46" s="7"/>
      <c r="C46" s="7"/>
      <c r="D46" s="7"/>
      <c r="E46" s="10"/>
      <c r="F46" s="10"/>
    </row>
    <row r="47" spans="1:6" x14ac:dyDescent="0.2">
      <c r="A47" s="12">
        <v>540.01</v>
      </c>
      <c r="B47" s="7"/>
      <c r="C47" s="7" t="s">
        <v>321</v>
      </c>
      <c r="D47" s="7"/>
      <c r="E47" s="10">
        <v>2000</v>
      </c>
      <c r="F47" s="10">
        <v>2000</v>
      </c>
    </row>
    <row r="48" spans="1:6" x14ac:dyDescent="0.2">
      <c r="A48" s="12"/>
      <c r="B48" s="7"/>
      <c r="C48" s="7"/>
      <c r="D48" s="7"/>
      <c r="E48" s="11"/>
      <c r="F48" s="11"/>
    </row>
    <row r="49" spans="1:6" x14ac:dyDescent="0.2">
      <c r="A49" s="12">
        <v>550.01</v>
      </c>
      <c r="B49" s="7"/>
      <c r="C49" s="7" t="s">
        <v>822</v>
      </c>
      <c r="D49" s="7"/>
      <c r="E49" s="10">
        <v>500</v>
      </c>
      <c r="F49" s="10">
        <v>500</v>
      </c>
    </row>
    <row r="50" spans="1:6" x14ac:dyDescent="0.2">
      <c r="A50" s="12">
        <v>550.02</v>
      </c>
      <c r="B50" s="7"/>
      <c r="C50" s="7" t="s">
        <v>823</v>
      </c>
      <c r="D50" s="7"/>
      <c r="E50" s="10">
        <v>2500</v>
      </c>
      <c r="F50" s="10">
        <v>4500</v>
      </c>
    </row>
    <row r="51" spans="1:6" x14ac:dyDescent="0.2">
      <c r="A51" s="12">
        <v>550.04</v>
      </c>
      <c r="B51" s="7"/>
      <c r="C51" s="7" t="s">
        <v>824</v>
      </c>
      <c r="E51" s="10">
        <v>12000</v>
      </c>
      <c r="F51" s="10">
        <v>12000</v>
      </c>
    </row>
    <row r="52" spans="1:6" x14ac:dyDescent="0.2">
      <c r="A52" s="12"/>
      <c r="B52" s="7"/>
      <c r="C52" s="7"/>
      <c r="D52" s="7"/>
      <c r="E52" s="10"/>
      <c r="F52" s="10"/>
    </row>
    <row r="53" spans="1:6" x14ac:dyDescent="0.2">
      <c r="A53" s="12">
        <v>560.02</v>
      </c>
      <c r="B53" s="7"/>
      <c r="C53" s="460" t="s">
        <v>150</v>
      </c>
      <c r="E53" s="10">
        <v>11940</v>
      </c>
      <c r="F53" s="10">
        <v>11940</v>
      </c>
    </row>
    <row r="54" spans="1:6" x14ac:dyDescent="0.2">
      <c r="A54" s="12"/>
      <c r="B54" s="7"/>
      <c r="C54" s="7" t="s">
        <v>361</v>
      </c>
      <c r="D54" s="10"/>
    </row>
    <row r="55" spans="1:6" x14ac:dyDescent="0.2">
      <c r="A55" s="12"/>
      <c r="B55" s="7"/>
      <c r="C55" s="7" t="s">
        <v>789</v>
      </c>
      <c r="D55" s="10"/>
    </row>
    <row r="56" spans="1:6" x14ac:dyDescent="0.2">
      <c r="A56" s="12"/>
      <c r="B56" s="7"/>
      <c r="C56" s="7" t="s">
        <v>362</v>
      </c>
      <c r="D56" s="10"/>
    </row>
    <row r="57" spans="1:6" x14ac:dyDescent="0.2">
      <c r="A57" s="12">
        <v>560.09</v>
      </c>
      <c r="B57" s="7"/>
      <c r="C57" s="7" t="s">
        <v>808</v>
      </c>
      <c r="D57" s="7"/>
      <c r="E57" s="10">
        <v>0</v>
      </c>
      <c r="F57" s="10">
        <v>4000</v>
      </c>
    </row>
    <row r="58" spans="1:6" x14ac:dyDescent="0.2">
      <c r="A58" s="12">
        <v>560.1</v>
      </c>
      <c r="B58" s="7"/>
      <c r="C58" s="460" t="s">
        <v>825</v>
      </c>
      <c r="E58" s="10">
        <v>8250</v>
      </c>
      <c r="F58" s="10">
        <v>8250</v>
      </c>
    </row>
    <row r="59" spans="1:6" x14ac:dyDescent="0.2">
      <c r="A59" s="12"/>
      <c r="B59" s="7"/>
      <c r="C59" s="7" t="s">
        <v>363</v>
      </c>
      <c r="D59" s="10"/>
    </row>
    <row r="60" spans="1:6" x14ac:dyDescent="0.2">
      <c r="A60" s="12"/>
      <c r="B60" s="7"/>
      <c r="C60" s="7" t="s">
        <v>788</v>
      </c>
      <c r="D60" s="10"/>
    </row>
    <row r="61" spans="1:6" x14ac:dyDescent="0.2">
      <c r="A61" s="12"/>
      <c r="B61" s="7"/>
      <c r="C61" s="7"/>
      <c r="D61" s="7"/>
      <c r="E61" s="10"/>
      <c r="F61" s="10"/>
    </row>
    <row r="62" spans="1:6" x14ac:dyDescent="0.2">
      <c r="A62" s="12">
        <v>590.01</v>
      </c>
      <c r="B62" s="7"/>
      <c r="C62" s="7" t="s">
        <v>716</v>
      </c>
      <c r="D62" s="7"/>
      <c r="E62" s="10">
        <v>500</v>
      </c>
      <c r="F62" s="10">
        <v>500</v>
      </c>
    </row>
    <row r="63" spans="1:6" x14ac:dyDescent="0.2">
      <c r="A63" s="12">
        <v>590.02</v>
      </c>
      <c r="B63" s="7"/>
      <c r="C63" s="7" t="s">
        <v>671</v>
      </c>
      <c r="D63" s="7"/>
      <c r="E63" s="10">
        <v>30000</v>
      </c>
      <c r="F63" s="10">
        <v>30000</v>
      </c>
    </row>
    <row r="64" spans="1:6" s="76" customFormat="1" x14ac:dyDescent="0.2">
      <c r="A64" s="177">
        <v>590.04</v>
      </c>
      <c r="B64" s="178"/>
      <c r="C64" s="178" t="s">
        <v>826</v>
      </c>
      <c r="D64" s="178"/>
      <c r="E64" s="65">
        <v>47650</v>
      </c>
      <c r="F64" s="65">
        <v>45000</v>
      </c>
    </row>
    <row r="65" spans="1:6" s="76" customFormat="1" x14ac:dyDescent="0.2">
      <c r="A65" s="177"/>
      <c r="B65" s="178"/>
      <c r="C65" s="178" t="s">
        <v>827</v>
      </c>
      <c r="D65" s="178"/>
    </row>
    <row r="66" spans="1:6" x14ac:dyDescent="0.2">
      <c r="A66" s="7"/>
      <c r="B66" s="7"/>
      <c r="C66" s="7"/>
      <c r="D66" s="7"/>
      <c r="E66" s="7"/>
      <c r="F66" s="7"/>
    </row>
  </sheetData>
  <printOptions headings="1" gridLines="1"/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8"/>
  <sheetViews>
    <sheetView zoomScaleNormal="100" workbookViewId="0">
      <selection activeCell="I10" sqref="I10"/>
    </sheetView>
  </sheetViews>
  <sheetFormatPr defaultRowHeight="12.75" x14ac:dyDescent="0.2"/>
  <cols>
    <col min="5" max="6" width="0" hidden="1" customWidth="1"/>
  </cols>
  <sheetData>
    <row r="2" spans="1:11" x14ac:dyDescent="0.2">
      <c r="A2" t="s">
        <v>330</v>
      </c>
    </row>
    <row r="4" spans="1:11" x14ac:dyDescent="0.2">
      <c r="A4" t="s">
        <v>304</v>
      </c>
      <c r="B4" t="s">
        <v>305</v>
      </c>
    </row>
    <row r="5" spans="1:11" x14ac:dyDescent="0.2">
      <c r="A5" t="s">
        <v>306</v>
      </c>
      <c r="B5" t="s">
        <v>341</v>
      </c>
      <c r="I5" s="24" t="s">
        <v>651</v>
      </c>
    </row>
    <row r="6" spans="1:11" x14ac:dyDescent="0.2">
      <c r="E6" s="25" t="s">
        <v>340</v>
      </c>
      <c r="G6" s="25" t="s">
        <v>718</v>
      </c>
      <c r="H6" s="25"/>
      <c r="I6" s="24" t="s">
        <v>781</v>
      </c>
    </row>
    <row r="7" spans="1:11" x14ac:dyDescent="0.2">
      <c r="A7" s="15" t="s">
        <v>331</v>
      </c>
      <c r="E7" s="16" t="s">
        <v>332</v>
      </c>
      <c r="G7" s="16" t="s">
        <v>333</v>
      </c>
      <c r="H7" s="16"/>
      <c r="I7" s="16" t="s">
        <v>333</v>
      </c>
      <c r="K7" s="59"/>
    </row>
    <row r="9" spans="1:11" x14ac:dyDescent="0.2">
      <c r="A9" t="s">
        <v>364</v>
      </c>
      <c r="E9" s="17">
        <v>2960</v>
      </c>
      <c r="F9" s="17"/>
      <c r="G9" s="17">
        <v>37440</v>
      </c>
      <c r="H9" s="17"/>
      <c r="I9" s="17">
        <f>G9*1.03</f>
        <v>38563.200000000004</v>
      </c>
    </row>
    <row r="10" spans="1:11" x14ac:dyDescent="0.2">
      <c r="E10" s="17"/>
      <c r="F10" s="17"/>
      <c r="G10" s="17"/>
      <c r="H10" s="17"/>
      <c r="I10" s="17"/>
    </row>
    <row r="11" spans="1:11" x14ac:dyDescent="0.2">
      <c r="E11" s="17"/>
      <c r="F11" s="17"/>
      <c r="G11" s="17"/>
      <c r="H11" s="17"/>
      <c r="I11" s="17"/>
    </row>
    <row r="12" spans="1:11" x14ac:dyDescent="0.2">
      <c r="A12" t="s">
        <v>359</v>
      </c>
      <c r="E12" s="17"/>
      <c r="F12" s="17"/>
      <c r="G12" s="17"/>
      <c r="H12" s="17"/>
      <c r="I12" s="17">
        <v>2500</v>
      </c>
    </row>
    <row r="13" spans="1:11" x14ac:dyDescent="0.2">
      <c r="E13" s="17"/>
      <c r="F13" s="17"/>
      <c r="G13" s="17"/>
      <c r="H13" s="17"/>
      <c r="I13" s="17"/>
    </row>
    <row r="14" spans="1:11" x14ac:dyDescent="0.2">
      <c r="A14" t="s">
        <v>336</v>
      </c>
      <c r="E14" s="17"/>
      <c r="F14" s="17"/>
      <c r="G14" s="17"/>
      <c r="H14" s="17"/>
      <c r="I14" s="17">
        <f>SUM(I9:I13)</f>
        <v>41063.200000000004</v>
      </c>
    </row>
    <row r="15" spans="1:11" x14ac:dyDescent="0.2">
      <c r="E15" s="17"/>
      <c r="F15" s="17"/>
      <c r="G15" s="17"/>
      <c r="H15" s="17"/>
      <c r="I15" s="17"/>
    </row>
    <row r="16" spans="1:11" x14ac:dyDescent="0.2">
      <c r="E16" s="17"/>
      <c r="F16" s="17"/>
      <c r="G16" s="17"/>
      <c r="H16" s="17"/>
      <c r="I16" s="17"/>
    </row>
    <row r="17" spans="5:9" x14ac:dyDescent="0.2">
      <c r="E17" s="17"/>
      <c r="F17" s="17"/>
      <c r="G17" s="17"/>
      <c r="H17" s="17"/>
      <c r="I17" s="17"/>
    </row>
    <row r="18" spans="5:9" x14ac:dyDescent="0.2">
      <c r="E18" s="17"/>
      <c r="F18" s="17"/>
      <c r="G18" s="17"/>
      <c r="H18" s="17"/>
      <c r="I18" s="17"/>
    </row>
  </sheetData>
  <pageMargins left="0.7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3"/>
  <sheetViews>
    <sheetView topLeftCell="A29" zoomScaleNormal="100" workbookViewId="0">
      <selection activeCell="G52" sqref="G52"/>
    </sheetView>
  </sheetViews>
  <sheetFormatPr defaultRowHeight="12.75" x14ac:dyDescent="0.2"/>
  <cols>
    <col min="1" max="1" width="9.28515625" bestFit="1" customWidth="1"/>
    <col min="3" max="3" width="40.28515625" customWidth="1"/>
    <col min="4" max="4" width="10.5703125" customWidth="1"/>
    <col min="5" max="5" width="10.140625" bestFit="1" customWidth="1"/>
    <col min="7" max="7" width="10.140625" bestFit="1" customWidth="1"/>
  </cols>
  <sheetData>
    <row r="1" spans="1:7" x14ac:dyDescent="0.2">
      <c r="A1" s="7" t="s">
        <v>303</v>
      </c>
      <c r="B1" s="7"/>
      <c r="C1" s="7"/>
      <c r="D1" s="7"/>
      <c r="E1" s="7"/>
      <c r="G1" s="7"/>
    </row>
    <row r="2" spans="1:7" x14ac:dyDescent="0.2">
      <c r="A2" s="7"/>
      <c r="B2" s="7"/>
      <c r="C2" s="7"/>
      <c r="D2" s="7"/>
      <c r="E2" s="7"/>
      <c r="G2" s="7"/>
    </row>
    <row r="3" spans="1:7" x14ac:dyDescent="0.2">
      <c r="A3" s="7" t="s">
        <v>304</v>
      </c>
      <c r="B3" s="7"/>
      <c r="C3" s="7" t="s">
        <v>305</v>
      </c>
      <c r="D3" s="7"/>
      <c r="E3" s="7"/>
      <c r="G3" s="7"/>
    </row>
    <row r="4" spans="1:7" x14ac:dyDescent="0.2">
      <c r="A4" s="7" t="s">
        <v>306</v>
      </c>
      <c r="B4" s="7"/>
      <c r="C4" s="7" t="s">
        <v>341</v>
      </c>
      <c r="D4" s="7"/>
      <c r="E4" s="24"/>
      <c r="G4" s="24"/>
    </row>
    <row r="5" spans="1:7" x14ac:dyDescent="0.2">
      <c r="A5" s="7"/>
      <c r="B5" s="7"/>
      <c r="C5" s="7"/>
      <c r="D5" s="7"/>
      <c r="E5" s="24" t="s">
        <v>658</v>
      </c>
      <c r="G5" s="24" t="s">
        <v>805</v>
      </c>
    </row>
    <row r="6" spans="1:7" x14ac:dyDescent="0.2">
      <c r="A6" s="8" t="s">
        <v>308</v>
      </c>
      <c r="B6" s="7"/>
      <c r="C6" s="9" t="s">
        <v>309</v>
      </c>
      <c r="D6" s="7"/>
      <c r="E6" s="9" t="s">
        <v>310</v>
      </c>
      <c r="G6" s="9" t="s">
        <v>781</v>
      </c>
    </row>
    <row r="7" spans="1:7" ht="14.25" x14ac:dyDescent="0.2">
      <c r="A7" s="26">
        <v>510.03</v>
      </c>
      <c r="B7" s="26"/>
      <c r="C7" s="461" t="s">
        <v>43</v>
      </c>
      <c r="E7" s="28">
        <v>15000</v>
      </c>
      <c r="F7" s="28"/>
      <c r="G7" s="28">
        <v>15000</v>
      </c>
    </row>
    <row r="8" spans="1:7" ht="14.25" x14ac:dyDescent="0.2">
      <c r="A8" s="19"/>
      <c r="B8" s="19"/>
      <c r="C8" s="19" t="s">
        <v>833</v>
      </c>
      <c r="D8" s="19"/>
      <c r="E8" s="31"/>
      <c r="F8" s="28"/>
      <c r="G8" s="31"/>
    </row>
    <row r="9" spans="1:7" ht="14.25" x14ac:dyDescent="0.2">
      <c r="A9" s="19"/>
      <c r="B9" s="19"/>
      <c r="C9" s="19" t="s">
        <v>648</v>
      </c>
      <c r="D9" s="19"/>
      <c r="E9" s="31"/>
      <c r="F9" s="28"/>
      <c r="G9" s="31"/>
    </row>
    <row r="10" spans="1:7" ht="14.25" x14ac:dyDescent="0.2">
      <c r="A10" s="19"/>
      <c r="B10" s="19"/>
      <c r="C10" s="19" t="s">
        <v>832</v>
      </c>
      <c r="D10" s="19"/>
      <c r="E10" s="31"/>
      <c r="F10" s="28"/>
      <c r="G10" s="31"/>
    </row>
    <row r="11" spans="1:7" ht="14.25" x14ac:dyDescent="0.2">
      <c r="A11" s="21">
        <v>510.05</v>
      </c>
      <c r="B11" s="19"/>
      <c r="C11" s="461" t="s">
        <v>834</v>
      </c>
      <c r="D11" s="19"/>
      <c r="E11" s="31">
        <v>8500</v>
      </c>
      <c r="F11" s="28"/>
      <c r="G11" s="31">
        <v>11104</v>
      </c>
    </row>
    <row r="12" spans="1:7" ht="14.25" x14ac:dyDescent="0.2">
      <c r="A12" s="21"/>
      <c r="B12" s="19"/>
      <c r="C12" s="19" t="s">
        <v>829</v>
      </c>
      <c r="D12" s="19"/>
      <c r="E12" s="31"/>
      <c r="F12" s="28"/>
      <c r="G12" s="31"/>
    </row>
    <row r="13" spans="1:7" ht="14.25" x14ac:dyDescent="0.2">
      <c r="A13" s="21"/>
      <c r="B13" s="19"/>
      <c r="C13" s="19" t="s">
        <v>814</v>
      </c>
      <c r="D13" s="19"/>
      <c r="E13" s="31"/>
      <c r="F13" s="28"/>
      <c r="G13" s="31"/>
    </row>
    <row r="14" spans="1:7" ht="14.25" x14ac:dyDescent="0.2">
      <c r="A14" s="21"/>
      <c r="B14" s="19"/>
      <c r="C14" s="19" t="s">
        <v>830</v>
      </c>
      <c r="D14" s="19"/>
      <c r="E14" s="31"/>
      <c r="F14" s="28"/>
      <c r="G14" s="31"/>
    </row>
    <row r="15" spans="1:7" ht="14.25" x14ac:dyDescent="0.2">
      <c r="A15" s="21"/>
      <c r="B15" s="19"/>
      <c r="C15" s="19" t="s">
        <v>831</v>
      </c>
      <c r="D15" s="19"/>
      <c r="E15" s="31"/>
      <c r="F15" s="28"/>
      <c r="G15" s="31"/>
    </row>
    <row r="16" spans="1:7" ht="14.25" x14ac:dyDescent="0.2">
      <c r="A16" s="21"/>
      <c r="B16" s="19"/>
      <c r="C16" s="19" t="s">
        <v>367</v>
      </c>
      <c r="D16" s="19"/>
      <c r="E16" s="464"/>
      <c r="F16" s="28"/>
      <c r="G16" s="464"/>
    </row>
    <row r="17" spans="1:7" ht="14.25" x14ac:dyDescent="0.2">
      <c r="A17" s="21">
        <v>510.06</v>
      </c>
      <c r="B17" s="19"/>
      <c r="C17" s="19" t="s">
        <v>317</v>
      </c>
      <c r="D17" s="19"/>
      <c r="E17" s="31">
        <f>+('Personnel Sched-Animal Cont'!I14*1.03)*0.0765</f>
        <v>3235.5748440000002</v>
      </c>
      <c r="F17" s="28"/>
      <c r="G17" s="31">
        <f>41063*0.0765</f>
        <v>3141.3195000000001</v>
      </c>
    </row>
    <row r="18" spans="1:7" ht="14.25" x14ac:dyDescent="0.2">
      <c r="A18" s="21">
        <v>510.07</v>
      </c>
      <c r="B18" s="19"/>
      <c r="C18" s="19" t="s">
        <v>782</v>
      </c>
      <c r="D18" s="19"/>
      <c r="E18" s="31">
        <f>+'Personnel Sched-Animal Cont'!I9*0.0464</f>
        <v>1789.33248</v>
      </c>
      <c r="F18" s="28"/>
      <c r="G18" s="31">
        <f>41063*0.0464</f>
        <v>1905.3231999999998</v>
      </c>
    </row>
    <row r="19" spans="1:7" ht="14.25" x14ac:dyDescent="0.2">
      <c r="A19" s="21">
        <v>510.08</v>
      </c>
      <c r="B19" s="19"/>
      <c r="C19" s="19" t="s">
        <v>912</v>
      </c>
      <c r="D19" s="19"/>
      <c r="E19" s="31">
        <f>(('Personnel Sched-Animal Cont'!I9*1.03)/100)*2.72</f>
        <v>1080.3866112000003</v>
      </c>
      <c r="F19" s="28"/>
      <c r="G19" s="31">
        <v>2000</v>
      </c>
    </row>
    <row r="20" spans="1:7" ht="14.25" x14ac:dyDescent="0.2">
      <c r="A20" s="21">
        <v>510.12</v>
      </c>
      <c r="B20" s="19"/>
      <c r="C20" s="19" t="s">
        <v>542</v>
      </c>
      <c r="D20" s="19"/>
      <c r="E20" s="31">
        <v>300</v>
      </c>
      <c r="F20" s="28"/>
      <c r="G20" s="31">
        <v>750</v>
      </c>
    </row>
    <row r="21" spans="1:7" ht="14.25" x14ac:dyDescent="0.2">
      <c r="A21" s="21"/>
      <c r="B21" s="19"/>
      <c r="C21" s="19"/>
      <c r="D21" s="19"/>
      <c r="E21" s="31"/>
      <c r="F21" s="28"/>
      <c r="G21" s="31"/>
    </row>
    <row r="22" spans="1:7" ht="14.25" x14ac:dyDescent="0.2">
      <c r="A22" s="21">
        <v>520.01</v>
      </c>
      <c r="B22" s="19"/>
      <c r="C22" s="19" t="s">
        <v>133</v>
      </c>
      <c r="D22" s="19"/>
      <c r="E22" s="31">
        <v>250</v>
      </c>
      <c r="F22" s="28"/>
      <c r="G22" s="31">
        <v>250</v>
      </c>
    </row>
    <row r="23" spans="1:7" ht="14.25" x14ac:dyDescent="0.2">
      <c r="A23" s="21">
        <v>520.03</v>
      </c>
      <c r="B23" s="19"/>
      <c r="C23" s="19" t="s">
        <v>672</v>
      </c>
      <c r="D23" s="19"/>
      <c r="E23" s="31">
        <v>100</v>
      </c>
      <c r="F23" s="28"/>
      <c r="G23" s="31">
        <v>100</v>
      </c>
    </row>
    <row r="24" spans="1:7" ht="14.25" x14ac:dyDescent="0.2">
      <c r="A24" s="21">
        <v>520.04</v>
      </c>
      <c r="B24" s="19"/>
      <c r="C24" s="19" t="s">
        <v>835</v>
      </c>
      <c r="D24" s="19"/>
      <c r="E24" s="31">
        <v>1500</v>
      </c>
      <c r="F24" s="28"/>
      <c r="G24" s="31">
        <v>1500</v>
      </c>
    </row>
    <row r="25" spans="1:7" ht="14.25" x14ac:dyDescent="0.2">
      <c r="A25" s="21">
        <v>520.05999999999995</v>
      </c>
      <c r="B25" s="19"/>
      <c r="C25" s="19" t="s">
        <v>75</v>
      </c>
      <c r="D25" s="19"/>
      <c r="E25" s="31">
        <v>1000</v>
      </c>
      <c r="F25" s="28"/>
      <c r="G25" s="31">
        <v>2000</v>
      </c>
    </row>
    <row r="26" spans="1:7" ht="14.25" x14ac:dyDescent="0.2">
      <c r="A26" s="21">
        <v>520.07000000000005</v>
      </c>
      <c r="B26" s="19"/>
      <c r="C26" s="19" t="s">
        <v>179</v>
      </c>
      <c r="D26" s="19"/>
      <c r="E26" s="31">
        <v>300</v>
      </c>
      <c r="F26" s="28"/>
      <c r="G26" s="31">
        <v>500</v>
      </c>
    </row>
    <row r="27" spans="1:7" ht="14.25" x14ac:dyDescent="0.2">
      <c r="A27" s="21">
        <v>520.08000000000004</v>
      </c>
      <c r="B27" s="19"/>
      <c r="C27" s="19" t="s">
        <v>435</v>
      </c>
      <c r="D27" s="19"/>
      <c r="E27" s="31">
        <v>1500</v>
      </c>
      <c r="F27" s="28"/>
      <c r="G27" s="31">
        <v>2000</v>
      </c>
    </row>
    <row r="28" spans="1:7" ht="14.25" x14ac:dyDescent="0.2">
      <c r="A28" s="21">
        <v>520.09</v>
      </c>
      <c r="B28" s="19"/>
      <c r="C28" s="19" t="s">
        <v>180</v>
      </c>
      <c r="D28" s="19"/>
      <c r="E28" s="31">
        <v>100</v>
      </c>
      <c r="F28" s="28"/>
      <c r="G28" s="31">
        <v>100</v>
      </c>
    </row>
    <row r="29" spans="1:7" ht="14.25" x14ac:dyDescent="0.2">
      <c r="A29" s="21"/>
      <c r="B29" s="19"/>
      <c r="C29" s="19"/>
      <c r="D29" s="19"/>
      <c r="E29" s="31"/>
      <c r="F29" s="28"/>
      <c r="G29" s="31"/>
    </row>
    <row r="30" spans="1:7" ht="14.25" x14ac:dyDescent="0.2">
      <c r="A30" s="21">
        <v>530.01</v>
      </c>
      <c r="B30" s="19"/>
      <c r="C30" s="19" t="s">
        <v>139</v>
      </c>
      <c r="D30" s="19"/>
      <c r="E30" s="31">
        <v>3000</v>
      </c>
      <c r="F30" s="28"/>
      <c r="G30" s="31">
        <v>3000</v>
      </c>
    </row>
    <row r="31" spans="1:7" ht="14.25" x14ac:dyDescent="0.2">
      <c r="A31" s="21">
        <v>530.05999999999995</v>
      </c>
      <c r="B31" s="19"/>
      <c r="C31" s="19" t="s">
        <v>811</v>
      </c>
      <c r="D31" s="19"/>
      <c r="E31" s="31">
        <v>150</v>
      </c>
      <c r="F31" s="28"/>
      <c r="G31" s="31">
        <v>150</v>
      </c>
    </row>
    <row r="32" spans="1:7" ht="14.25" x14ac:dyDescent="0.2">
      <c r="A32" s="21">
        <v>530.08000000000004</v>
      </c>
      <c r="B32" s="19"/>
      <c r="C32" s="19" t="s">
        <v>810</v>
      </c>
      <c r="D32" s="19"/>
      <c r="E32" s="31">
        <v>1700</v>
      </c>
      <c r="F32" s="28"/>
      <c r="G32" s="31">
        <v>2000</v>
      </c>
    </row>
    <row r="33" spans="1:7" ht="14.25" x14ac:dyDescent="0.2">
      <c r="A33" s="21">
        <v>530.1</v>
      </c>
      <c r="B33" s="19"/>
      <c r="C33" s="19" t="s">
        <v>193</v>
      </c>
      <c r="D33" s="19"/>
      <c r="E33" s="31">
        <v>300</v>
      </c>
      <c r="F33" s="28"/>
      <c r="G33" s="31">
        <v>500</v>
      </c>
    </row>
    <row r="34" spans="1:7" ht="14.25" x14ac:dyDescent="0.2">
      <c r="A34" s="21">
        <v>530.11</v>
      </c>
      <c r="B34" s="19"/>
      <c r="C34" s="19" t="s">
        <v>2</v>
      </c>
      <c r="D34" s="19"/>
      <c r="E34" s="31">
        <v>800</v>
      </c>
      <c r="F34" s="28"/>
      <c r="G34" s="31">
        <v>800</v>
      </c>
    </row>
    <row r="35" spans="1:7" ht="14.25" x14ac:dyDescent="0.2">
      <c r="A35" s="21"/>
      <c r="B35" s="19"/>
      <c r="C35" s="19"/>
      <c r="D35" s="19"/>
      <c r="E35" s="31"/>
      <c r="F35" s="28"/>
      <c r="G35" s="31"/>
    </row>
    <row r="36" spans="1:7" ht="14.25" x14ac:dyDescent="0.2">
      <c r="A36" s="21">
        <v>540.01</v>
      </c>
      <c r="B36" s="19"/>
      <c r="C36" s="19" t="s">
        <v>321</v>
      </c>
      <c r="D36" s="19"/>
      <c r="E36" s="31">
        <v>1500</v>
      </c>
      <c r="F36" s="28"/>
      <c r="G36" s="31">
        <v>6500</v>
      </c>
    </row>
    <row r="37" spans="1:7" ht="14.25" x14ac:dyDescent="0.2">
      <c r="A37" s="21"/>
      <c r="B37" s="19"/>
      <c r="C37" s="19"/>
      <c r="D37" s="19"/>
      <c r="E37" s="31"/>
      <c r="F37" s="28"/>
      <c r="G37" s="31"/>
    </row>
    <row r="38" spans="1:7" ht="14.25" x14ac:dyDescent="0.2">
      <c r="A38" s="21">
        <v>550.02</v>
      </c>
      <c r="B38" s="19"/>
      <c r="C38" s="19" t="s">
        <v>671</v>
      </c>
      <c r="D38" s="19"/>
      <c r="E38" s="31">
        <v>300</v>
      </c>
      <c r="F38" s="28"/>
      <c r="G38" s="31">
        <v>300</v>
      </c>
    </row>
    <row r="39" spans="1:7" ht="14.25" x14ac:dyDescent="0.2">
      <c r="A39" s="21">
        <v>550.04</v>
      </c>
      <c r="B39" s="19"/>
      <c r="C39" s="19" t="s">
        <v>824</v>
      </c>
      <c r="D39" s="19"/>
      <c r="E39" s="31">
        <v>500</v>
      </c>
      <c r="F39" s="28"/>
      <c r="G39" s="31">
        <v>500</v>
      </c>
    </row>
    <row r="40" spans="1:7" ht="14.25" x14ac:dyDescent="0.2">
      <c r="A40" s="21">
        <v>550.05999999999995</v>
      </c>
      <c r="B40" s="19"/>
      <c r="C40" s="19" t="s">
        <v>575</v>
      </c>
      <c r="D40" s="19"/>
      <c r="E40" s="31">
        <v>2000</v>
      </c>
      <c r="F40" s="28"/>
      <c r="G40" s="31">
        <v>2000</v>
      </c>
    </row>
    <row r="41" spans="1:7" ht="14.25" x14ac:dyDescent="0.2">
      <c r="A41" s="21"/>
      <c r="B41" s="19"/>
      <c r="C41" s="19"/>
      <c r="D41" s="19"/>
      <c r="E41" s="31"/>
      <c r="F41" s="28"/>
      <c r="G41" s="31"/>
    </row>
    <row r="42" spans="1:7" ht="14.25" x14ac:dyDescent="0.2">
      <c r="A42" s="21">
        <v>560.02</v>
      </c>
      <c r="B42" s="19"/>
      <c r="C42" s="19" t="s">
        <v>551</v>
      </c>
      <c r="D42" s="19"/>
      <c r="E42" s="31">
        <v>100</v>
      </c>
      <c r="F42" s="28"/>
      <c r="G42" s="31">
        <v>100</v>
      </c>
    </row>
    <row r="43" spans="1:7" ht="14.25" x14ac:dyDescent="0.2">
      <c r="A43" s="21">
        <v>560.1</v>
      </c>
      <c r="B43" s="19"/>
      <c r="C43" s="19" t="s">
        <v>426</v>
      </c>
      <c r="D43" s="19"/>
      <c r="E43" s="31">
        <v>500</v>
      </c>
      <c r="F43" s="28"/>
      <c r="G43" s="31">
        <v>750</v>
      </c>
    </row>
    <row r="44" spans="1:7" ht="14.25" x14ac:dyDescent="0.2">
      <c r="A44" s="21"/>
      <c r="B44" s="19"/>
      <c r="C44" s="19"/>
      <c r="D44" s="19"/>
      <c r="E44" s="31"/>
      <c r="F44" s="28"/>
      <c r="G44" s="31"/>
    </row>
    <row r="45" spans="1:7" ht="14.25" x14ac:dyDescent="0.2">
      <c r="A45" s="21">
        <v>580.01</v>
      </c>
      <c r="B45" s="19"/>
      <c r="C45" s="19" t="s">
        <v>836</v>
      </c>
      <c r="D45" s="19"/>
      <c r="E45" s="31">
        <v>5000</v>
      </c>
      <c r="F45" s="28"/>
      <c r="G45" s="31">
        <v>5000</v>
      </c>
    </row>
    <row r="46" spans="1:7" ht="14.25" x14ac:dyDescent="0.2">
      <c r="A46" s="21"/>
      <c r="B46" s="19"/>
      <c r="C46" s="19"/>
      <c r="D46" s="19"/>
      <c r="E46" s="31"/>
      <c r="F46" s="28"/>
      <c r="G46" s="31"/>
    </row>
    <row r="47" spans="1:7" ht="14.25" x14ac:dyDescent="0.2">
      <c r="A47" s="21">
        <v>590.02</v>
      </c>
      <c r="B47" s="19"/>
      <c r="C47" s="19" t="s">
        <v>837</v>
      </c>
      <c r="D47" s="19"/>
      <c r="E47" s="31">
        <v>2500</v>
      </c>
      <c r="F47" s="28"/>
      <c r="G47" s="31">
        <v>2500</v>
      </c>
    </row>
    <row r="48" spans="1:7" ht="14.25" x14ac:dyDescent="0.2">
      <c r="A48" s="21"/>
      <c r="B48" s="19"/>
      <c r="C48" s="19"/>
      <c r="D48" s="19"/>
      <c r="E48" s="22"/>
      <c r="G48" s="22"/>
    </row>
    <row r="49" spans="1:7" ht="15" x14ac:dyDescent="0.25">
      <c r="A49" s="21" t="s">
        <v>838</v>
      </c>
      <c r="B49" s="19"/>
      <c r="C49" s="19"/>
      <c r="D49" s="19"/>
      <c r="E49" s="465">
        <f>SUM(E7:E47)</f>
        <v>53005.293935199996</v>
      </c>
      <c r="G49" s="465">
        <f>SUM(G7:G47)</f>
        <v>64450.642699999997</v>
      </c>
    </row>
    <row r="50" spans="1:7" ht="14.25" x14ac:dyDescent="0.2">
      <c r="A50" s="21"/>
      <c r="B50" s="19"/>
      <c r="C50" s="19"/>
      <c r="D50" s="19"/>
      <c r="E50" s="20"/>
      <c r="G50" s="20"/>
    </row>
    <row r="51" spans="1:7" s="76" customFormat="1" ht="14.25" x14ac:dyDescent="0.2">
      <c r="A51" s="446"/>
      <c r="B51" s="49"/>
      <c r="C51" s="447"/>
      <c r="D51" s="49"/>
      <c r="E51" s="41"/>
      <c r="G51" s="41"/>
    </row>
    <row r="52" spans="1:7" ht="14.25" x14ac:dyDescent="0.2">
      <c r="A52" s="28"/>
      <c r="B52" s="28"/>
      <c r="C52" s="28"/>
      <c r="D52" s="28"/>
      <c r="E52" s="35"/>
      <c r="G52" s="35"/>
    </row>
    <row r="53" spans="1:7" ht="14.25" x14ac:dyDescent="0.2">
      <c r="A53" s="28"/>
      <c r="B53" s="28"/>
      <c r="C53" s="31"/>
      <c r="D53" s="28"/>
      <c r="E53" s="28"/>
      <c r="G53" s="28"/>
    </row>
  </sheetData>
  <printOptions headings="1" gridLines="1"/>
  <pageMargins left="0.7" right="0.7" top="0.75" bottom="0.7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topLeftCell="A31" zoomScaleNormal="100" workbookViewId="0">
      <selection activeCell="G37" sqref="G37"/>
    </sheetView>
  </sheetViews>
  <sheetFormatPr defaultRowHeight="12.75" x14ac:dyDescent="0.2"/>
  <cols>
    <col min="4" max="4" width="46.28515625" customWidth="1"/>
    <col min="5" max="5" width="10.7109375" customWidth="1"/>
    <col min="7" max="7" width="10.7109375" customWidth="1"/>
    <col min="14" max="14" width="14.42578125" customWidth="1"/>
  </cols>
  <sheetData>
    <row r="1" spans="1:7" x14ac:dyDescent="0.2">
      <c r="A1" s="7" t="s">
        <v>303</v>
      </c>
      <c r="B1" s="7"/>
      <c r="C1" s="7"/>
      <c r="D1" s="7"/>
      <c r="E1" s="7"/>
      <c r="G1" s="7"/>
    </row>
    <row r="2" spans="1:7" x14ac:dyDescent="0.2">
      <c r="A2" s="7"/>
      <c r="B2" s="7"/>
      <c r="C2" s="7"/>
      <c r="D2" s="7"/>
      <c r="E2" s="7"/>
      <c r="G2" s="7"/>
    </row>
    <row r="3" spans="1:7" x14ac:dyDescent="0.2">
      <c r="A3" s="7" t="s">
        <v>304</v>
      </c>
      <c r="B3" s="7"/>
      <c r="C3" s="7" t="s">
        <v>305</v>
      </c>
      <c r="D3" s="7"/>
      <c r="E3" s="7"/>
      <c r="G3" s="7"/>
    </row>
    <row r="4" spans="1:7" x14ac:dyDescent="0.2">
      <c r="A4" s="7" t="s">
        <v>306</v>
      </c>
      <c r="B4" s="7"/>
      <c r="C4" s="7" t="s">
        <v>342</v>
      </c>
      <c r="D4" s="7"/>
      <c r="E4" s="24"/>
      <c r="G4" s="24"/>
    </row>
    <row r="5" spans="1:7" x14ac:dyDescent="0.2">
      <c r="A5" s="7"/>
      <c r="B5" s="7"/>
      <c r="C5" s="7"/>
      <c r="D5" s="7"/>
      <c r="E5" s="24" t="s">
        <v>658</v>
      </c>
      <c r="G5" s="24" t="s">
        <v>805</v>
      </c>
    </row>
    <row r="6" spans="1:7" x14ac:dyDescent="0.2">
      <c r="A6" s="8" t="s">
        <v>308</v>
      </c>
      <c r="B6" s="7"/>
      <c r="C6" s="9" t="s">
        <v>309</v>
      </c>
      <c r="D6" s="7"/>
      <c r="E6" s="9" t="s">
        <v>310</v>
      </c>
      <c r="G6" s="9" t="s">
        <v>781</v>
      </c>
    </row>
    <row r="8" spans="1:7" ht="14.25" x14ac:dyDescent="0.2">
      <c r="A8" s="21">
        <v>510.03</v>
      </c>
      <c r="C8" s="19" t="s">
        <v>43</v>
      </c>
      <c r="E8" s="20">
        <v>1000</v>
      </c>
      <c r="G8" s="20">
        <v>1000</v>
      </c>
    </row>
    <row r="9" spans="1:7" ht="14.25" x14ac:dyDescent="0.2">
      <c r="A9" s="21">
        <v>510.04</v>
      </c>
      <c r="B9" s="19"/>
      <c r="C9" s="19" t="s">
        <v>128</v>
      </c>
      <c r="D9" s="19"/>
      <c r="E9" s="20">
        <v>15000</v>
      </c>
      <c r="G9" s="20">
        <v>18000</v>
      </c>
    </row>
    <row r="10" spans="1:7" s="76" customFormat="1" ht="14.25" x14ac:dyDescent="0.2">
      <c r="A10" s="48">
        <v>510.08</v>
      </c>
      <c r="B10" s="46"/>
      <c r="C10" s="46" t="s">
        <v>912</v>
      </c>
      <c r="D10" s="46"/>
      <c r="E10" s="41">
        <v>400</v>
      </c>
      <c r="G10" s="41">
        <v>1500</v>
      </c>
    </row>
    <row r="11" spans="1:7" s="76" customFormat="1" ht="14.25" x14ac:dyDescent="0.2">
      <c r="A11" s="48">
        <v>510.1</v>
      </c>
      <c r="B11" s="46"/>
      <c r="C11" s="46" t="s">
        <v>555</v>
      </c>
      <c r="D11" s="46"/>
      <c r="E11" s="41">
        <v>2500</v>
      </c>
      <c r="G11" s="41">
        <v>2500</v>
      </c>
    </row>
    <row r="12" spans="1:7" s="76" customFormat="1" ht="14.25" x14ac:dyDescent="0.2">
      <c r="A12" s="48"/>
      <c r="B12" s="46"/>
      <c r="C12" s="46"/>
      <c r="D12" s="46"/>
      <c r="E12" s="41"/>
      <c r="G12" s="41"/>
    </row>
    <row r="13" spans="1:7" ht="14.25" x14ac:dyDescent="0.2">
      <c r="A13" s="21">
        <v>520.01</v>
      </c>
      <c r="B13" s="19"/>
      <c r="C13" s="19" t="s">
        <v>133</v>
      </c>
      <c r="D13" s="19"/>
      <c r="E13" s="20">
        <v>300</v>
      </c>
      <c r="G13" s="20">
        <v>300</v>
      </c>
    </row>
    <row r="14" spans="1:7" ht="14.25" x14ac:dyDescent="0.2">
      <c r="A14" s="21">
        <v>520.02</v>
      </c>
      <c r="B14" s="19"/>
      <c r="C14" s="19" t="s">
        <v>166</v>
      </c>
      <c r="D14" s="19"/>
      <c r="E14" s="20">
        <v>180</v>
      </c>
      <c r="G14" s="20">
        <v>180</v>
      </c>
    </row>
    <row r="15" spans="1:7" ht="14.25" x14ac:dyDescent="0.2">
      <c r="A15" s="21">
        <v>520.03</v>
      </c>
      <c r="B15" s="19"/>
      <c r="C15" s="19" t="s">
        <v>368</v>
      </c>
      <c r="D15" s="19"/>
      <c r="E15" s="20">
        <v>800</v>
      </c>
      <c r="G15" s="20">
        <v>1500</v>
      </c>
    </row>
    <row r="16" spans="1:7" ht="14.25" x14ac:dyDescent="0.2">
      <c r="A16" s="21">
        <v>520.04</v>
      </c>
      <c r="B16" s="19"/>
      <c r="C16" s="19" t="s">
        <v>840</v>
      </c>
      <c r="D16" s="19"/>
      <c r="E16" s="20">
        <v>300</v>
      </c>
      <c r="G16" s="20">
        <v>3000</v>
      </c>
    </row>
    <row r="17" spans="1:15" ht="14.25" x14ac:dyDescent="0.2">
      <c r="A17" s="21">
        <v>520.05999999999995</v>
      </c>
      <c r="B17" s="19"/>
      <c r="C17" s="19" t="s">
        <v>199</v>
      </c>
      <c r="D17" s="19"/>
      <c r="E17" s="20">
        <v>1700</v>
      </c>
      <c r="G17" s="20">
        <v>3500</v>
      </c>
    </row>
    <row r="18" spans="1:15" ht="14.25" x14ac:dyDescent="0.2">
      <c r="A18" s="21">
        <v>520.07000000000005</v>
      </c>
      <c r="B18" s="19"/>
      <c r="C18" s="19" t="s">
        <v>850</v>
      </c>
      <c r="D18" s="19"/>
      <c r="E18" s="20">
        <v>200</v>
      </c>
      <c r="G18" s="20">
        <v>200</v>
      </c>
    </row>
    <row r="19" spans="1:15" ht="14.25" x14ac:dyDescent="0.2">
      <c r="A19" s="21">
        <v>520.08000000000004</v>
      </c>
      <c r="B19" s="19"/>
      <c r="C19" s="19" t="s">
        <v>874</v>
      </c>
      <c r="D19" s="19"/>
      <c r="E19" s="20">
        <v>150</v>
      </c>
      <c r="G19" s="20">
        <v>150</v>
      </c>
    </row>
    <row r="20" spans="1:15" ht="14.25" x14ac:dyDescent="0.2">
      <c r="A20" s="21">
        <v>520.09</v>
      </c>
      <c r="B20" s="19"/>
      <c r="C20" s="19" t="s">
        <v>180</v>
      </c>
      <c r="D20" s="19"/>
      <c r="E20" s="20">
        <v>0</v>
      </c>
      <c r="G20" s="20">
        <v>300</v>
      </c>
    </row>
    <row r="21" spans="1:15" ht="14.25" x14ac:dyDescent="0.2">
      <c r="A21" s="21">
        <v>520.1</v>
      </c>
      <c r="B21" s="19"/>
      <c r="C21" s="19" t="s">
        <v>673</v>
      </c>
      <c r="D21" s="19"/>
      <c r="E21" s="20">
        <v>2500</v>
      </c>
      <c r="G21" s="20">
        <v>2500</v>
      </c>
    </row>
    <row r="22" spans="1:15" ht="14.25" x14ac:dyDescent="0.2">
      <c r="A22" s="21"/>
      <c r="B22" s="19"/>
      <c r="C22" s="19"/>
      <c r="D22" s="19"/>
      <c r="E22" s="20"/>
      <c r="G22" s="20"/>
    </row>
    <row r="23" spans="1:15" ht="14.25" x14ac:dyDescent="0.2">
      <c r="A23" s="21">
        <v>530.01</v>
      </c>
      <c r="B23" s="19"/>
      <c r="C23" s="19" t="s">
        <v>577</v>
      </c>
      <c r="D23" s="19"/>
      <c r="E23" s="20">
        <v>2000</v>
      </c>
      <c r="G23" s="20"/>
    </row>
    <row r="24" spans="1:15" ht="14.25" x14ac:dyDescent="0.2">
      <c r="A24" s="21"/>
      <c r="B24" s="19"/>
      <c r="C24" s="19" t="s">
        <v>578</v>
      </c>
      <c r="D24" s="19"/>
      <c r="E24" s="22">
        <v>0</v>
      </c>
      <c r="G24" s="22"/>
    </row>
    <row r="25" spans="1:15" ht="14.25" x14ac:dyDescent="0.2">
      <c r="A25" s="21"/>
      <c r="B25" s="19"/>
      <c r="C25" s="19" t="s">
        <v>12</v>
      </c>
      <c r="D25" s="19"/>
      <c r="E25" s="22">
        <f>SUM(E23:E24)</f>
        <v>2000</v>
      </c>
      <c r="G25" s="22">
        <v>2000</v>
      </c>
    </row>
    <row r="26" spans="1:15" ht="18" x14ac:dyDescent="0.25">
      <c r="A26" s="21">
        <v>530.03</v>
      </c>
      <c r="B26" s="19"/>
      <c r="C26" s="19" t="s">
        <v>369</v>
      </c>
      <c r="D26" s="19"/>
      <c r="E26" s="20">
        <v>1000</v>
      </c>
      <c r="G26" s="20">
        <v>1000</v>
      </c>
      <c r="N26" s="6"/>
      <c r="O26" s="3"/>
    </row>
    <row r="27" spans="1:15" ht="18" x14ac:dyDescent="0.25">
      <c r="A27" s="21">
        <v>530.1</v>
      </c>
      <c r="B27" s="19"/>
      <c r="C27" s="19" t="s">
        <v>193</v>
      </c>
      <c r="D27" s="19"/>
      <c r="E27" s="20">
        <v>500</v>
      </c>
      <c r="G27" s="20">
        <v>500</v>
      </c>
      <c r="N27" s="6"/>
      <c r="O27" s="3"/>
    </row>
    <row r="28" spans="1:15" ht="18" x14ac:dyDescent="0.25">
      <c r="A28" s="21">
        <v>530.11</v>
      </c>
      <c r="B28" s="19"/>
      <c r="C28" s="19" t="s">
        <v>2</v>
      </c>
      <c r="D28" s="19"/>
      <c r="E28" s="20">
        <v>2700</v>
      </c>
      <c r="G28" s="20">
        <v>2700</v>
      </c>
      <c r="N28" s="6"/>
      <c r="O28" s="3"/>
    </row>
    <row r="29" spans="1:15" ht="14.25" x14ac:dyDescent="0.2">
      <c r="A29" s="21">
        <v>530.13</v>
      </c>
      <c r="B29" s="19"/>
      <c r="C29" s="19" t="s">
        <v>370</v>
      </c>
      <c r="D29" s="19"/>
      <c r="E29" s="20">
        <v>540</v>
      </c>
      <c r="G29" s="20">
        <v>540</v>
      </c>
    </row>
    <row r="30" spans="1:15" ht="14.25" x14ac:dyDescent="0.2">
      <c r="A30" s="21"/>
      <c r="B30" s="19"/>
      <c r="C30" s="19"/>
      <c r="D30" s="19"/>
      <c r="E30" s="20"/>
      <c r="G30" s="20"/>
    </row>
    <row r="31" spans="1:15" ht="14.25" x14ac:dyDescent="0.2">
      <c r="A31" s="21">
        <v>540.01</v>
      </c>
      <c r="B31" s="19"/>
      <c r="C31" s="19" t="s">
        <v>877</v>
      </c>
      <c r="D31" s="19"/>
      <c r="E31" s="20">
        <v>1500</v>
      </c>
      <c r="G31" s="20">
        <v>1500</v>
      </c>
    </row>
    <row r="32" spans="1:15" ht="14.25" x14ac:dyDescent="0.2">
      <c r="A32" s="21"/>
      <c r="B32" s="19"/>
      <c r="C32" s="19"/>
      <c r="D32" s="19"/>
      <c r="E32" s="20"/>
      <c r="G32" s="20"/>
    </row>
    <row r="33" spans="1:7" ht="14.25" x14ac:dyDescent="0.2">
      <c r="A33" s="21">
        <v>550.01</v>
      </c>
      <c r="B33" s="19"/>
      <c r="C33" s="19" t="s">
        <v>173</v>
      </c>
      <c r="D33" s="19"/>
      <c r="E33" s="20">
        <v>0</v>
      </c>
      <c r="G33" s="20">
        <v>1000</v>
      </c>
    </row>
    <row r="34" spans="1:7" ht="14.25" x14ac:dyDescent="0.2">
      <c r="A34" s="21">
        <v>550.02</v>
      </c>
      <c r="B34" s="19"/>
      <c r="C34" s="19" t="s">
        <v>671</v>
      </c>
      <c r="D34" s="19"/>
      <c r="E34" s="20">
        <v>5500</v>
      </c>
      <c r="G34" s="20">
        <v>6500</v>
      </c>
    </row>
    <row r="35" spans="1:7" ht="14.25" x14ac:dyDescent="0.2">
      <c r="A35" s="21">
        <v>550.04</v>
      </c>
      <c r="B35" s="19"/>
      <c r="C35" s="19" t="s">
        <v>175</v>
      </c>
      <c r="D35" s="19"/>
      <c r="E35" s="20">
        <v>6000</v>
      </c>
      <c r="G35" s="20">
        <v>16000</v>
      </c>
    </row>
    <row r="36" spans="1:7" ht="14.25" x14ac:dyDescent="0.2">
      <c r="A36" s="21">
        <v>550.04999999999995</v>
      </c>
      <c r="B36" s="19"/>
      <c r="C36" s="19" t="s">
        <v>371</v>
      </c>
      <c r="D36" s="19"/>
      <c r="E36" s="20">
        <v>1000</v>
      </c>
      <c r="G36" s="20">
        <v>1500</v>
      </c>
    </row>
    <row r="37" spans="1:7" ht="14.25" x14ac:dyDescent="0.2">
      <c r="A37" s="21">
        <v>550.05999999999995</v>
      </c>
      <c r="B37" s="19"/>
      <c r="C37" s="19" t="s">
        <v>579</v>
      </c>
      <c r="D37" s="19"/>
      <c r="E37" s="20">
        <v>500</v>
      </c>
      <c r="G37" s="20">
        <v>6000</v>
      </c>
    </row>
    <row r="38" spans="1:7" ht="14.25" x14ac:dyDescent="0.2">
      <c r="A38" s="21"/>
      <c r="B38" s="19"/>
      <c r="C38" s="19"/>
      <c r="D38" s="19"/>
      <c r="E38" s="20"/>
      <c r="G38" s="20"/>
    </row>
    <row r="39" spans="1:7" ht="14.25" x14ac:dyDescent="0.2">
      <c r="A39" s="21">
        <v>560.02</v>
      </c>
      <c r="B39" s="19"/>
      <c r="C39" s="19" t="s">
        <v>150</v>
      </c>
      <c r="D39" s="19"/>
      <c r="E39" s="20">
        <v>1200</v>
      </c>
      <c r="G39" s="20">
        <v>1500</v>
      </c>
    </row>
    <row r="40" spans="1:7" ht="14.25" x14ac:dyDescent="0.2">
      <c r="A40" s="21">
        <v>560.09</v>
      </c>
      <c r="B40" s="19"/>
      <c r="C40" s="19" t="s">
        <v>408</v>
      </c>
      <c r="D40" s="19"/>
      <c r="E40" s="20">
        <v>0</v>
      </c>
      <c r="G40" s="20">
        <v>600</v>
      </c>
    </row>
    <row r="41" spans="1:7" ht="14.25" x14ac:dyDescent="0.2">
      <c r="A41" s="21">
        <v>560.1</v>
      </c>
      <c r="B41" s="19"/>
      <c r="C41" s="19" t="s">
        <v>151</v>
      </c>
      <c r="D41" s="19"/>
      <c r="E41" s="20">
        <v>6000</v>
      </c>
      <c r="G41" s="20">
        <v>10000</v>
      </c>
    </row>
    <row r="42" spans="1:7" ht="14.25" x14ac:dyDescent="0.2">
      <c r="A42" s="21"/>
      <c r="B42" s="19"/>
      <c r="C42" s="19"/>
      <c r="D42" s="19"/>
      <c r="E42" s="20"/>
      <c r="G42" s="20"/>
    </row>
    <row r="43" spans="1:7" ht="14.25" x14ac:dyDescent="0.2">
      <c r="A43" s="21">
        <v>580.20000000000005</v>
      </c>
      <c r="B43" s="19"/>
      <c r="C43" s="19" t="s">
        <v>875</v>
      </c>
      <c r="D43" s="19"/>
      <c r="E43" s="20">
        <v>0</v>
      </c>
      <c r="G43" s="20">
        <v>2000</v>
      </c>
    </row>
    <row r="44" spans="1:7" ht="14.25" x14ac:dyDescent="0.2">
      <c r="A44" s="21"/>
      <c r="B44" s="19"/>
      <c r="C44" s="19"/>
      <c r="D44" s="19"/>
      <c r="E44" s="20"/>
      <c r="G44" s="20"/>
    </row>
    <row r="45" spans="1:7" ht="14.25" x14ac:dyDescent="0.2">
      <c r="A45" s="21">
        <v>590.04</v>
      </c>
      <c r="B45" s="19"/>
      <c r="C45" s="19" t="s">
        <v>745</v>
      </c>
      <c r="D45" s="19"/>
      <c r="E45" s="41">
        <f>2727*12</f>
        <v>32724</v>
      </c>
      <c r="G45" s="41">
        <v>32724</v>
      </c>
    </row>
    <row r="46" spans="1:7" ht="14.25" x14ac:dyDescent="0.2">
      <c r="A46" s="21">
        <v>590.04999999999995</v>
      </c>
      <c r="B46" s="19"/>
      <c r="C46" s="46" t="s">
        <v>649</v>
      </c>
      <c r="D46" s="19"/>
      <c r="E46" s="41">
        <v>750</v>
      </c>
      <c r="G46" s="41">
        <v>750</v>
      </c>
    </row>
    <row r="47" spans="1:7" ht="14.25" x14ac:dyDescent="0.2">
      <c r="A47" s="21">
        <v>590.05999999999995</v>
      </c>
      <c r="B47" s="19"/>
      <c r="C47" s="19" t="s">
        <v>576</v>
      </c>
      <c r="D47" s="19"/>
      <c r="E47" s="20">
        <v>3000</v>
      </c>
      <c r="G47" s="20">
        <v>3000</v>
      </c>
    </row>
    <row r="48" spans="1:7" ht="14.25" x14ac:dyDescent="0.2">
      <c r="A48" s="21">
        <v>590.1</v>
      </c>
      <c r="B48" s="19"/>
      <c r="C48" s="19" t="s">
        <v>764</v>
      </c>
      <c r="D48" s="19"/>
      <c r="E48" s="41">
        <v>5000</v>
      </c>
      <c r="G48" s="41">
        <v>100000</v>
      </c>
    </row>
    <row r="49" spans="1:7" ht="14.25" x14ac:dyDescent="0.2">
      <c r="A49" s="21"/>
      <c r="B49" s="19"/>
      <c r="C49" s="19"/>
      <c r="D49" s="19"/>
      <c r="E49" s="20"/>
      <c r="G49" s="20"/>
    </row>
    <row r="50" spans="1:7" ht="14.25" x14ac:dyDescent="0.2">
      <c r="A50" s="21"/>
      <c r="B50" s="19"/>
      <c r="C50" s="19"/>
      <c r="D50" s="19"/>
      <c r="E50" s="20"/>
      <c r="G50" s="20"/>
    </row>
  </sheetData>
  <printOptions headings="1" gridLines="1"/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6"/>
  <sheetViews>
    <sheetView zoomScaleNormal="100" workbookViewId="0">
      <selection activeCell="I9" sqref="I9"/>
    </sheetView>
  </sheetViews>
  <sheetFormatPr defaultRowHeight="12.75" x14ac:dyDescent="0.2"/>
  <cols>
    <col min="1" max="1" width="23.140625" customWidth="1"/>
    <col min="5" max="6" width="0" hidden="1" customWidth="1"/>
  </cols>
  <sheetData>
    <row r="2" spans="1:11" x14ac:dyDescent="0.2">
      <c r="A2" t="s">
        <v>330</v>
      </c>
    </row>
    <row r="4" spans="1:11" x14ac:dyDescent="0.2">
      <c r="A4" t="s">
        <v>304</v>
      </c>
      <c r="B4" t="s">
        <v>305</v>
      </c>
    </row>
    <row r="5" spans="1:11" x14ac:dyDescent="0.2">
      <c r="A5" t="s">
        <v>306</v>
      </c>
      <c r="B5" t="s">
        <v>790</v>
      </c>
      <c r="I5" s="24" t="s">
        <v>651</v>
      </c>
    </row>
    <row r="6" spans="1:11" x14ac:dyDescent="0.2">
      <c r="E6" s="25" t="s">
        <v>340</v>
      </c>
      <c r="G6" s="25" t="s">
        <v>658</v>
      </c>
      <c r="H6" s="25"/>
      <c r="I6" s="24" t="s">
        <v>781</v>
      </c>
    </row>
    <row r="7" spans="1:11" x14ac:dyDescent="0.2">
      <c r="A7" s="15" t="s">
        <v>331</v>
      </c>
      <c r="E7" s="16" t="s">
        <v>332</v>
      </c>
      <c r="G7" s="16" t="s">
        <v>903</v>
      </c>
      <c r="H7" s="16"/>
      <c r="I7" s="16" t="s">
        <v>333</v>
      </c>
    </row>
    <row r="9" spans="1:11" ht="25.5" x14ac:dyDescent="0.2">
      <c r="A9" s="181" t="s">
        <v>791</v>
      </c>
      <c r="E9" s="23">
        <v>4200</v>
      </c>
      <c r="G9" s="23">
        <v>50502.400000000001</v>
      </c>
      <c r="H9" s="23"/>
      <c r="I9" s="522">
        <f>50502*103%</f>
        <v>52017.060000000005</v>
      </c>
      <c r="K9" s="36"/>
    </row>
    <row r="10" spans="1:11" x14ac:dyDescent="0.2">
      <c r="A10" t="s">
        <v>336</v>
      </c>
      <c r="E10" s="17"/>
      <c r="F10" s="17"/>
      <c r="G10" s="17"/>
      <c r="H10" s="17"/>
      <c r="I10" s="17"/>
      <c r="K10" s="36"/>
    </row>
    <row r="11" spans="1:11" x14ac:dyDescent="0.2">
      <c r="E11" s="17"/>
      <c r="F11" s="17"/>
      <c r="G11" s="17"/>
      <c r="H11" s="17"/>
      <c r="I11" s="17"/>
      <c r="K11" s="36"/>
    </row>
    <row r="12" spans="1:11" x14ac:dyDescent="0.2">
      <c r="E12" s="17"/>
      <c r="F12" s="17"/>
      <c r="G12" s="17"/>
      <c r="H12" s="17"/>
      <c r="I12" s="17"/>
      <c r="K12" s="36"/>
    </row>
    <row r="13" spans="1:11" x14ac:dyDescent="0.2">
      <c r="E13" s="17"/>
      <c r="F13" s="17"/>
      <c r="G13" s="17"/>
      <c r="H13" s="17"/>
      <c r="I13" s="17"/>
      <c r="K13" s="36"/>
    </row>
    <row r="14" spans="1:11" x14ac:dyDescent="0.2">
      <c r="E14" s="17"/>
      <c r="F14" s="17"/>
      <c r="G14" s="17"/>
      <c r="H14" s="17"/>
      <c r="I14" s="17"/>
    </row>
    <row r="15" spans="1:11" x14ac:dyDescent="0.2">
      <c r="E15" s="17"/>
      <c r="F15" s="17"/>
      <c r="G15" s="17"/>
      <c r="H15" s="17"/>
      <c r="I15" s="17"/>
    </row>
    <row r="16" spans="1:11" x14ac:dyDescent="0.2">
      <c r="K16" s="36"/>
    </row>
  </sheetData>
  <pageMargins left="0.7" right="0.7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7"/>
  <sheetViews>
    <sheetView topLeftCell="A30" zoomScaleNormal="100" workbookViewId="0">
      <selection activeCell="G53" sqref="G53"/>
    </sheetView>
  </sheetViews>
  <sheetFormatPr defaultRowHeight="12.75" x14ac:dyDescent="0.2"/>
  <cols>
    <col min="1" max="1" width="9.5703125" bestFit="1" customWidth="1"/>
    <col min="4" max="4" width="33.28515625" customWidth="1"/>
    <col min="5" max="5" width="11.42578125" bestFit="1" customWidth="1"/>
    <col min="7" max="7" width="11.28515625" bestFit="1" customWidth="1"/>
  </cols>
  <sheetData>
    <row r="1" spans="1:7" x14ac:dyDescent="0.2">
      <c r="A1" s="7" t="s">
        <v>303</v>
      </c>
      <c r="B1" s="7"/>
      <c r="C1" s="7"/>
      <c r="D1" s="7"/>
      <c r="E1" s="7"/>
    </row>
    <row r="2" spans="1:7" x14ac:dyDescent="0.2">
      <c r="A2" s="7"/>
      <c r="B2" s="7"/>
      <c r="C2" s="7"/>
      <c r="D2" s="7"/>
      <c r="E2" s="7"/>
    </row>
    <row r="3" spans="1:7" x14ac:dyDescent="0.2">
      <c r="A3" s="7" t="s">
        <v>304</v>
      </c>
      <c r="B3" s="7"/>
      <c r="C3" s="7" t="s">
        <v>305</v>
      </c>
      <c r="D3" s="7"/>
      <c r="E3" s="7"/>
    </row>
    <row r="4" spans="1:7" x14ac:dyDescent="0.2">
      <c r="A4" s="7" t="s">
        <v>306</v>
      </c>
      <c r="B4" s="7"/>
      <c r="C4" s="7" t="s">
        <v>416</v>
      </c>
      <c r="D4" s="7"/>
      <c r="E4" s="7"/>
    </row>
    <row r="5" spans="1:7" x14ac:dyDescent="0.2">
      <c r="A5" s="7"/>
      <c r="B5" s="7"/>
      <c r="C5" s="7"/>
      <c r="D5" s="7"/>
      <c r="E5" s="24" t="s">
        <v>658</v>
      </c>
      <c r="G5" s="24" t="s">
        <v>805</v>
      </c>
    </row>
    <row r="6" spans="1:7" x14ac:dyDescent="0.2">
      <c r="A6" s="8" t="s">
        <v>308</v>
      </c>
      <c r="B6" s="7"/>
      <c r="C6" s="9" t="s">
        <v>309</v>
      </c>
      <c r="D6" s="7"/>
      <c r="E6" s="54" t="s">
        <v>804</v>
      </c>
      <c r="G6" s="15" t="s">
        <v>781</v>
      </c>
    </row>
    <row r="7" spans="1:7" x14ac:dyDescent="0.2">
      <c r="F7" s="462"/>
      <c r="G7" s="462"/>
    </row>
    <row r="8" spans="1:7" ht="14.25" x14ac:dyDescent="0.2">
      <c r="A8" s="19">
        <v>510.01</v>
      </c>
      <c r="C8" s="19" t="s">
        <v>5</v>
      </c>
      <c r="E8" s="31">
        <v>54292</v>
      </c>
      <c r="F8" s="462"/>
      <c r="G8" s="28">
        <f>50502*103%</f>
        <v>52017.060000000005</v>
      </c>
    </row>
    <row r="9" spans="1:7" ht="14.25" x14ac:dyDescent="0.2">
      <c r="A9" s="19">
        <v>510.03</v>
      </c>
      <c r="B9" s="19"/>
      <c r="C9" s="19" t="s">
        <v>43</v>
      </c>
      <c r="D9" s="19"/>
      <c r="E9" s="31">
        <v>5000</v>
      </c>
      <c r="F9" s="28"/>
      <c r="G9" s="28">
        <v>10000</v>
      </c>
    </row>
    <row r="10" spans="1:7" ht="14.25" x14ac:dyDescent="0.2">
      <c r="A10" s="21">
        <v>510.05</v>
      </c>
      <c r="B10" s="19"/>
      <c r="C10" s="32" t="s">
        <v>834</v>
      </c>
      <c r="E10" s="31">
        <v>8601</v>
      </c>
      <c r="F10" s="28"/>
      <c r="G10" s="28">
        <v>11178</v>
      </c>
    </row>
    <row r="11" spans="1:7" ht="14.25" x14ac:dyDescent="0.2">
      <c r="A11" s="21"/>
      <c r="B11" s="19"/>
      <c r="C11" s="19" t="s">
        <v>813</v>
      </c>
      <c r="D11" s="19"/>
      <c r="E11" s="31"/>
      <c r="F11" s="28"/>
      <c r="G11" s="28"/>
    </row>
    <row r="12" spans="1:7" ht="14.25" x14ac:dyDescent="0.2">
      <c r="A12" s="21"/>
      <c r="B12" s="19"/>
      <c r="C12" s="19" t="s">
        <v>814</v>
      </c>
      <c r="D12" s="19"/>
      <c r="E12" s="31"/>
      <c r="F12" s="28"/>
      <c r="G12" s="28"/>
    </row>
    <row r="13" spans="1:7" ht="14.25" x14ac:dyDescent="0.2">
      <c r="A13" s="21"/>
      <c r="B13" s="19"/>
      <c r="C13" s="19" t="s">
        <v>830</v>
      </c>
      <c r="D13" s="19"/>
      <c r="E13" s="31"/>
      <c r="F13" s="28"/>
      <c r="G13" s="471"/>
    </row>
    <row r="14" spans="1:7" ht="14.25" x14ac:dyDescent="0.2">
      <c r="A14" s="21"/>
      <c r="B14" s="19"/>
      <c r="C14" s="19" t="s">
        <v>815</v>
      </c>
      <c r="D14" s="19"/>
      <c r="E14" s="464"/>
      <c r="F14" s="28"/>
      <c r="G14" s="471"/>
    </row>
    <row r="15" spans="1:7" ht="14.25" x14ac:dyDescent="0.2">
      <c r="A15" s="21"/>
      <c r="B15" s="19"/>
      <c r="C15" s="19" t="s">
        <v>367</v>
      </c>
      <c r="D15" s="19"/>
      <c r="E15" s="31"/>
      <c r="F15" s="28"/>
      <c r="G15" s="471"/>
    </row>
    <row r="16" spans="1:7" ht="14.25" x14ac:dyDescent="0.2">
      <c r="A16" s="21">
        <v>510.06</v>
      </c>
      <c r="B16" s="19"/>
      <c r="C16" s="19" t="s">
        <v>317</v>
      </c>
      <c r="D16" s="19"/>
      <c r="E16" s="447">
        <v>4154</v>
      </c>
      <c r="F16" s="28"/>
      <c r="G16" s="28">
        <f>G8*0.0765</f>
        <v>3979.3050900000003</v>
      </c>
    </row>
    <row r="17" spans="1:7" ht="14.25" x14ac:dyDescent="0.2">
      <c r="A17" s="21">
        <v>510.07</v>
      </c>
      <c r="B17" s="19"/>
      <c r="C17" s="19" t="s">
        <v>782</v>
      </c>
      <c r="D17" s="19"/>
      <c r="E17" s="447">
        <v>2764</v>
      </c>
      <c r="F17" s="28"/>
      <c r="G17" s="28">
        <f>G8*0.0464</f>
        <v>2413.5915840000002</v>
      </c>
    </row>
    <row r="18" spans="1:7" ht="14.25" x14ac:dyDescent="0.2">
      <c r="A18" s="21">
        <v>510.08</v>
      </c>
      <c r="B18" s="19"/>
      <c r="C18" s="19" t="s">
        <v>912</v>
      </c>
      <c r="D18" s="19"/>
      <c r="E18" s="447">
        <v>147</v>
      </c>
      <c r="F18" s="28"/>
      <c r="G18" s="28">
        <v>1000</v>
      </c>
    </row>
    <row r="19" spans="1:7" ht="14.25" x14ac:dyDescent="0.2">
      <c r="A19" s="21">
        <v>510.11</v>
      </c>
      <c r="B19" s="19"/>
      <c r="C19" s="19" t="s">
        <v>428</v>
      </c>
      <c r="D19" s="19"/>
      <c r="E19" s="31">
        <v>0</v>
      </c>
      <c r="F19" s="28"/>
      <c r="G19" s="28">
        <v>200</v>
      </c>
    </row>
    <row r="20" spans="1:7" s="76" customFormat="1" ht="14.25" x14ac:dyDescent="0.2">
      <c r="A20" s="48">
        <v>510.12</v>
      </c>
      <c r="B20" s="46"/>
      <c r="C20" s="46" t="s">
        <v>542</v>
      </c>
      <c r="D20" s="46"/>
      <c r="E20" s="447">
        <v>750</v>
      </c>
      <c r="F20" s="49"/>
      <c r="G20" s="49">
        <v>2550</v>
      </c>
    </row>
    <row r="21" spans="1:7" s="76" customFormat="1" ht="14.25" x14ac:dyDescent="0.2">
      <c r="A21" s="48"/>
      <c r="B21" s="46"/>
      <c r="C21" s="46"/>
      <c r="D21" s="46"/>
      <c r="E21" s="447"/>
      <c r="F21" s="49"/>
      <c r="G21" s="49"/>
    </row>
    <row r="22" spans="1:7" ht="14.25" x14ac:dyDescent="0.2">
      <c r="A22" s="21">
        <v>520.01</v>
      </c>
      <c r="B22" s="19"/>
      <c r="C22" s="19" t="s">
        <v>133</v>
      </c>
      <c r="D22" s="19"/>
      <c r="E22" s="31">
        <v>500</v>
      </c>
      <c r="F22" s="28"/>
      <c r="G22" s="28">
        <v>1200</v>
      </c>
    </row>
    <row r="23" spans="1:7" ht="14.25" x14ac:dyDescent="0.2">
      <c r="A23" s="21">
        <v>520.02</v>
      </c>
      <c r="B23" s="19"/>
      <c r="C23" s="19" t="s">
        <v>166</v>
      </c>
      <c r="D23" s="19"/>
      <c r="E23" s="31">
        <v>750</v>
      </c>
      <c r="F23" s="28"/>
      <c r="G23" s="28">
        <v>750</v>
      </c>
    </row>
    <row r="24" spans="1:7" ht="14.25" x14ac:dyDescent="0.2">
      <c r="A24" s="21">
        <v>520.03</v>
      </c>
      <c r="B24" s="19"/>
      <c r="C24" s="19" t="s">
        <v>672</v>
      </c>
      <c r="D24" s="19"/>
      <c r="E24" s="31">
        <v>7000</v>
      </c>
      <c r="F24" s="28"/>
      <c r="G24" s="28">
        <v>6000</v>
      </c>
    </row>
    <row r="25" spans="1:7" ht="14.25" x14ac:dyDescent="0.2">
      <c r="A25" s="21">
        <v>520.04</v>
      </c>
      <c r="B25" s="19"/>
      <c r="C25" s="19" t="s">
        <v>840</v>
      </c>
      <c r="D25" s="19"/>
      <c r="E25" s="31">
        <v>900</v>
      </c>
      <c r="F25" s="28"/>
      <c r="G25" s="28">
        <v>900</v>
      </c>
    </row>
    <row r="26" spans="1:7" ht="14.25" x14ac:dyDescent="0.2">
      <c r="A26" s="21">
        <v>520.05999999999995</v>
      </c>
      <c r="B26" s="19"/>
      <c r="C26" s="19" t="s">
        <v>199</v>
      </c>
      <c r="D26" s="19"/>
      <c r="E26" s="31">
        <v>1100</v>
      </c>
      <c r="F26" s="28"/>
      <c r="G26" s="28">
        <v>1100</v>
      </c>
    </row>
    <row r="27" spans="1:7" ht="14.25" x14ac:dyDescent="0.2">
      <c r="A27" s="21">
        <v>520.07000000000005</v>
      </c>
      <c r="B27" s="19"/>
      <c r="C27" s="19" t="s">
        <v>696</v>
      </c>
      <c r="D27" s="19"/>
      <c r="E27" s="31">
        <v>200</v>
      </c>
      <c r="F27" s="28"/>
      <c r="G27" s="28">
        <v>500</v>
      </c>
    </row>
    <row r="28" spans="1:7" ht="14.25" x14ac:dyDescent="0.2">
      <c r="A28" s="21">
        <v>520.08000000000004</v>
      </c>
      <c r="C28" s="19" t="s">
        <v>435</v>
      </c>
      <c r="E28" s="31">
        <v>500</v>
      </c>
      <c r="F28" s="28"/>
      <c r="G28" s="28">
        <v>500</v>
      </c>
    </row>
    <row r="29" spans="1:7" ht="14.25" x14ac:dyDescent="0.2">
      <c r="A29" s="21">
        <v>520.1</v>
      </c>
      <c r="C29" s="19" t="s">
        <v>673</v>
      </c>
      <c r="E29" s="31">
        <v>750</v>
      </c>
      <c r="F29" s="28"/>
      <c r="G29" s="28">
        <v>750</v>
      </c>
    </row>
    <row r="30" spans="1:7" ht="14.25" x14ac:dyDescent="0.2">
      <c r="A30" s="21"/>
      <c r="C30" s="19"/>
      <c r="E30" s="31"/>
      <c r="F30" s="28"/>
      <c r="G30" s="28"/>
    </row>
    <row r="31" spans="1:7" ht="14.25" x14ac:dyDescent="0.2">
      <c r="A31" s="21">
        <v>530.01</v>
      </c>
      <c r="C31" s="19" t="s">
        <v>139</v>
      </c>
      <c r="E31" s="31">
        <v>1833</v>
      </c>
      <c r="F31" s="28"/>
      <c r="G31" s="28">
        <v>2400</v>
      </c>
    </row>
    <row r="32" spans="1:7" ht="14.25" x14ac:dyDescent="0.2">
      <c r="A32" s="21">
        <v>530.02</v>
      </c>
      <c r="C32" s="19" t="s">
        <v>841</v>
      </c>
      <c r="E32" s="31">
        <v>0</v>
      </c>
      <c r="F32" s="28"/>
      <c r="G32" s="28">
        <v>300</v>
      </c>
    </row>
    <row r="33" spans="1:7" ht="14.25" x14ac:dyDescent="0.2">
      <c r="A33" s="21">
        <v>530.03</v>
      </c>
      <c r="C33" s="19" t="s">
        <v>821</v>
      </c>
      <c r="E33" s="31">
        <v>100</v>
      </c>
      <c r="F33" s="28"/>
      <c r="G33" s="28">
        <v>300</v>
      </c>
    </row>
    <row r="34" spans="1:7" ht="14.25" x14ac:dyDescent="0.2">
      <c r="A34" s="21">
        <v>530.04</v>
      </c>
      <c r="B34" s="19"/>
      <c r="C34" s="19" t="s">
        <v>535</v>
      </c>
      <c r="D34" s="19"/>
      <c r="E34" s="31">
        <v>250</v>
      </c>
      <c r="F34" s="28"/>
      <c r="G34" s="28">
        <v>100</v>
      </c>
    </row>
    <row r="35" spans="1:7" ht="14.25" x14ac:dyDescent="0.2">
      <c r="A35" s="21">
        <v>530.04999999999995</v>
      </c>
      <c r="B35" s="19"/>
      <c r="C35" s="19" t="s">
        <v>842</v>
      </c>
      <c r="D35" s="19"/>
      <c r="E35" s="31">
        <v>4500</v>
      </c>
      <c r="F35" s="28"/>
      <c r="G35" s="28">
        <v>2500</v>
      </c>
    </row>
    <row r="36" spans="1:7" ht="14.25" x14ac:dyDescent="0.2">
      <c r="A36" s="21"/>
      <c r="B36" s="19"/>
      <c r="C36" s="7" t="s">
        <v>843</v>
      </c>
      <c r="D36" s="19"/>
      <c r="E36" s="31"/>
      <c r="F36" s="28"/>
      <c r="G36" s="28"/>
    </row>
    <row r="37" spans="1:7" ht="14.25" x14ac:dyDescent="0.2">
      <c r="A37" s="21">
        <v>530.05999999999995</v>
      </c>
      <c r="B37" s="19"/>
      <c r="C37" s="19" t="s">
        <v>811</v>
      </c>
      <c r="D37" s="19"/>
      <c r="E37" s="31">
        <v>400</v>
      </c>
      <c r="F37" s="28"/>
      <c r="G37" s="28">
        <v>400</v>
      </c>
    </row>
    <row r="38" spans="1:7" ht="14.25" x14ac:dyDescent="0.2">
      <c r="A38" s="21">
        <v>530.11</v>
      </c>
      <c r="B38" s="19"/>
      <c r="C38" s="19" t="s">
        <v>2</v>
      </c>
      <c r="D38" s="19"/>
      <c r="E38" s="31">
        <v>500</v>
      </c>
      <c r="F38" s="28"/>
      <c r="G38" s="28">
        <v>500</v>
      </c>
    </row>
    <row r="39" spans="1:7" ht="14.25" x14ac:dyDescent="0.2">
      <c r="A39" s="21">
        <v>530.13</v>
      </c>
      <c r="B39" s="19"/>
      <c r="C39" s="19" t="s">
        <v>260</v>
      </c>
      <c r="D39" s="19"/>
      <c r="E39" s="31">
        <v>7500</v>
      </c>
      <c r="F39" s="28"/>
      <c r="G39" s="28">
        <v>10000</v>
      </c>
    </row>
    <row r="40" spans="1:7" ht="14.25" x14ac:dyDescent="0.2">
      <c r="A40" s="21"/>
      <c r="B40" s="19"/>
      <c r="C40" s="19"/>
      <c r="D40" s="19"/>
      <c r="E40" s="31"/>
      <c r="F40" s="28"/>
      <c r="G40" s="28"/>
    </row>
    <row r="41" spans="1:7" ht="14.25" x14ac:dyDescent="0.2">
      <c r="A41" s="21">
        <v>540.07000000000005</v>
      </c>
      <c r="B41" s="19"/>
      <c r="C41" s="19" t="s">
        <v>896</v>
      </c>
      <c r="D41" s="19"/>
      <c r="E41" s="31">
        <v>60000</v>
      </c>
      <c r="F41" s="28"/>
      <c r="G41" s="28">
        <v>60000</v>
      </c>
    </row>
    <row r="42" spans="1:7" ht="14.25" x14ac:dyDescent="0.2">
      <c r="A42" s="21"/>
      <c r="B42" s="19"/>
      <c r="C42" s="19"/>
      <c r="D42" s="19"/>
      <c r="E42" s="31"/>
      <c r="F42" s="28"/>
      <c r="G42" s="28"/>
    </row>
    <row r="43" spans="1:7" ht="14.25" x14ac:dyDescent="0.2">
      <c r="A43" s="21">
        <v>550.01</v>
      </c>
      <c r="C43" s="19" t="s">
        <v>173</v>
      </c>
      <c r="E43" s="31">
        <v>250</v>
      </c>
      <c r="F43" s="28"/>
      <c r="G43" s="28">
        <v>250</v>
      </c>
    </row>
    <row r="44" spans="1:7" ht="14.25" x14ac:dyDescent="0.2">
      <c r="A44" s="21">
        <v>550.04</v>
      </c>
      <c r="C44" s="19" t="s">
        <v>824</v>
      </c>
      <c r="E44" s="31">
        <v>900</v>
      </c>
      <c r="F44" s="28"/>
      <c r="G44" s="28">
        <v>2000</v>
      </c>
    </row>
    <row r="45" spans="1:7" ht="14.25" x14ac:dyDescent="0.2">
      <c r="E45" s="28"/>
      <c r="F45" s="28"/>
      <c r="G45" s="28"/>
    </row>
    <row r="46" spans="1:7" ht="14.25" x14ac:dyDescent="0.2">
      <c r="A46" s="21">
        <v>560.02</v>
      </c>
      <c r="B46" s="19"/>
      <c r="C46" s="461" t="s">
        <v>150</v>
      </c>
      <c r="E46" s="31">
        <v>445</v>
      </c>
      <c r="F46" s="28"/>
      <c r="G46" s="28">
        <v>250</v>
      </c>
    </row>
    <row r="47" spans="1:7" ht="14.25" x14ac:dyDescent="0.2">
      <c r="A47" s="21"/>
      <c r="B47" s="19"/>
      <c r="C47" s="19" t="s">
        <v>466</v>
      </c>
      <c r="D47" s="19"/>
      <c r="E47" s="31"/>
      <c r="F47" s="28"/>
      <c r="G47" s="28"/>
    </row>
    <row r="48" spans="1:7" ht="14.25" x14ac:dyDescent="0.2">
      <c r="A48" s="21"/>
      <c r="B48" s="19"/>
      <c r="C48" s="19" t="s">
        <v>467</v>
      </c>
      <c r="D48" s="19"/>
      <c r="E48" s="31"/>
      <c r="F48" s="28"/>
      <c r="G48" s="28"/>
    </row>
    <row r="49" spans="1:7" ht="14.25" x14ac:dyDescent="0.2">
      <c r="A49" s="21">
        <v>560.1</v>
      </c>
      <c r="B49" s="19"/>
      <c r="C49" s="19" t="s">
        <v>185</v>
      </c>
      <c r="D49" s="19"/>
      <c r="E49" s="31">
        <v>750</v>
      </c>
      <c r="F49" s="28"/>
      <c r="G49" s="28">
        <v>750</v>
      </c>
    </row>
    <row r="50" spans="1:7" ht="14.25" x14ac:dyDescent="0.2">
      <c r="A50" s="21"/>
      <c r="B50" s="19"/>
      <c r="C50" s="19"/>
      <c r="D50" s="19"/>
      <c r="E50" s="31"/>
      <c r="F50" s="28"/>
      <c r="G50" s="28"/>
    </row>
    <row r="51" spans="1:7" ht="14.25" x14ac:dyDescent="0.2">
      <c r="A51" s="21">
        <v>580.01</v>
      </c>
      <c r="B51" s="19"/>
      <c r="C51" s="19" t="s">
        <v>876</v>
      </c>
      <c r="D51" s="19"/>
      <c r="E51" s="463">
        <v>0</v>
      </c>
      <c r="F51" s="462"/>
      <c r="G51" s="28">
        <v>2000</v>
      </c>
    </row>
    <row r="52" spans="1:7" ht="14.25" x14ac:dyDescent="0.2">
      <c r="A52" s="21"/>
      <c r="B52" s="19"/>
      <c r="C52" s="19"/>
      <c r="D52" s="19"/>
      <c r="E52" s="463"/>
      <c r="F52" s="462"/>
      <c r="G52" s="462"/>
    </row>
    <row r="53" spans="1:7" ht="14.25" x14ac:dyDescent="0.2">
      <c r="A53" s="21"/>
      <c r="B53" s="19"/>
      <c r="C53" s="19"/>
      <c r="D53" s="19"/>
      <c r="E53" s="463"/>
      <c r="F53" s="462"/>
      <c r="G53" s="462"/>
    </row>
    <row r="54" spans="1:7" x14ac:dyDescent="0.2">
      <c r="E54" s="462"/>
      <c r="F54" s="462"/>
      <c r="G54" s="462"/>
    </row>
    <row r="55" spans="1:7" x14ac:dyDescent="0.2">
      <c r="E55" s="462"/>
      <c r="F55" s="462"/>
      <c r="G55" s="462"/>
    </row>
    <row r="56" spans="1:7" x14ac:dyDescent="0.2">
      <c r="E56" s="462"/>
      <c r="F56" s="462"/>
      <c r="G56" s="462"/>
    </row>
    <row r="57" spans="1:7" x14ac:dyDescent="0.2">
      <c r="E57" s="462"/>
      <c r="F57" s="462"/>
      <c r="G57" s="462"/>
    </row>
    <row r="58" spans="1:7" x14ac:dyDescent="0.2">
      <c r="E58" s="462"/>
      <c r="F58" s="462"/>
      <c r="G58" s="462"/>
    </row>
    <row r="59" spans="1:7" x14ac:dyDescent="0.2">
      <c r="E59" s="462"/>
      <c r="F59" s="462"/>
      <c r="G59" s="462"/>
    </row>
    <row r="60" spans="1:7" x14ac:dyDescent="0.2">
      <c r="E60" s="462"/>
      <c r="F60" s="462"/>
      <c r="G60" s="462"/>
    </row>
    <row r="61" spans="1:7" x14ac:dyDescent="0.2">
      <c r="E61" s="462"/>
      <c r="F61" s="462"/>
      <c r="G61" s="462"/>
    </row>
    <row r="62" spans="1:7" x14ac:dyDescent="0.2">
      <c r="E62" s="462"/>
      <c r="F62" s="462"/>
      <c r="G62" s="462"/>
    </row>
    <row r="63" spans="1:7" x14ac:dyDescent="0.2">
      <c r="E63" s="462"/>
      <c r="F63" s="462"/>
      <c r="G63" s="462"/>
    </row>
    <row r="64" spans="1:7" x14ac:dyDescent="0.2">
      <c r="E64" s="462"/>
      <c r="F64" s="462"/>
      <c r="G64" s="462"/>
    </row>
    <row r="65" spans="5:7" x14ac:dyDescent="0.2">
      <c r="E65" s="462"/>
      <c r="F65" s="462"/>
      <c r="G65" s="462"/>
    </row>
    <row r="66" spans="5:7" x14ac:dyDescent="0.2">
      <c r="E66" s="462"/>
      <c r="F66" s="462"/>
      <c r="G66" s="462"/>
    </row>
    <row r="67" spans="5:7" x14ac:dyDescent="0.2">
      <c r="E67" s="462"/>
      <c r="F67" s="462"/>
      <c r="G67" s="462"/>
    </row>
  </sheetData>
  <printOptions headings="1" gridLines="1"/>
  <pageMargins left="0.7" right="0.7" top="0.75" bottom="0.75" header="0.3" footer="0.3"/>
  <pageSetup scale="95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0"/>
  <sheetViews>
    <sheetView zoomScaleNormal="100" workbookViewId="0">
      <selection activeCell="K31" sqref="K31"/>
    </sheetView>
  </sheetViews>
  <sheetFormatPr defaultRowHeight="12.75" x14ac:dyDescent="0.2"/>
  <cols>
    <col min="5" max="6" width="0" hidden="1" customWidth="1"/>
    <col min="7" max="7" width="11.140625" bestFit="1" customWidth="1"/>
    <col min="9" max="9" width="11.42578125" bestFit="1" customWidth="1"/>
  </cols>
  <sheetData>
    <row r="2" spans="1:9" x14ac:dyDescent="0.2">
      <c r="A2" t="s">
        <v>330</v>
      </c>
    </row>
    <row r="4" spans="1:9" x14ac:dyDescent="0.2">
      <c r="A4" t="s">
        <v>304</v>
      </c>
      <c r="B4" t="s">
        <v>305</v>
      </c>
    </row>
    <row r="5" spans="1:9" x14ac:dyDescent="0.2">
      <c r="A5" t="s">
        <v>306</v>
      </c>
      <c r="B5" t="s">
        <v>343</v>
      </c>
      <c r="I5" s="24" t="s">
        <v>651</v>
      </c>
    </row>
    <row r="6" spans="1:9" x14ac:dyDescent="0.2">
      <c r="E6" s="25" t="s">
        <v>340</v>
      </c>
      <c r="G6" s="25" t="s">
        <v>658</v>
      </c>
      <c r="H6" s="25"/>
      <c r="I6" s="54" t="s">
        <v>781</v>
      </c>
    </row>
    <row r="7" spans="1:9" x14ac:dyDescent="0.2">
      <c r="A7" s="15" t="s">
        <v>331</v>
      </c>
      <c r="E7" s="16" t="s">
        <v>332</v>
      </c>
      <c r="G7" s="16" t="s">
        <v>903</v>
      </c>
      <c r="H7" s="16"/>
      <c r="I7" s="16" t="s">
        <v>333</v>
      </c>
    </row>
    <row r="8" spans="1:9" x14ac:dyDescent="0.2">
      <c r="A8" s="24" t="s">
        <v>661</v>
      </c>
      <c r="G8" s="23">
        <v>21333</v>
      </c>
      <c r="H8" s="23"/>
      <c r="I8" s="17">
        <v>24000</v>
      </c>
    </row>
    <row r="9" spans="1:9" x14ac:dyDescent="0.2">
      <c r="B9" t="s">
        <v>726</v>
      </c>
      <c r="G9" s="23"/>
      <c r="H9" s="23"/>
      <c r="I9" s="23"/>
    </row>
    <row r="10" spans="1:9" x14ac:dyDescent="0.2">
      <c r="A10" t="s">
        <v>372</v>
      </c>
      <c r="E10" s="17">
        <v>4668</v>
      </c>
      <c r="F10" s="17"/>
      <c r="G10" s="17">
        <v>51979.199999999997</v>
      </c>
      <c r="H10" s="17"/>
      <c r="I10" s="17">
        <f>G10*103%</f>
        <v>53538.576000000001</v>
      </c>
    </row>
    <row r="11" spans="1:9" x14ac:dyDescent="0.2">
      <c r="E11" s="17"/>
      <c r="F11" s="17"/>
      <c r="G11" s="17"/>
      <c r="H11" s="17"/>
      <c r="I11" s="17"/>
    </row>
    <row r="12" spans="1:9" x14ac:dyDescent="0.2">
      <c r="A12" s="24" t="s">
        <v>374</v>
      </c>
      <c r="E12" s="17">
        <v>3061</v>
      </c>
      <c r="F12" s="17"/>
      <c r="G12" s="17">
        <v>34278.400000000001</v>
      </c>
      <c r="H12" s="17"/>
      <c r="I12" s="17">
        <f t="shared" ref="I12:I20" si="0">G12*103%</f>
        <v>35306.752</v>
      </c>
    </row>
    <row r="13" spans="1:9" x14ac:dyDescent="0.2">
      <c r="E13" s="17"/>
      <c r="F13" s="17"/>
      <c r="G13" s="17"/>
      <c r="H13" s="17"/>
      <c r="I13" s="17"/>
    </row>
    <row r="14" spans="1:9" x14ac:dyDescent="0.2">
      <c r="A14" t="s">
        <v>374</v>
      </c>
      <c r="E14" s="17">
        <v>2548</v>
      </c>
      <c r="F14" s="17"/>
      <c r="G14" s="17">
        <v>31262.400000000001</v>
      </c>
      <c r="H14" s="17"/>
      <c r="I14" s="17">
        <f t="shared" si="0"/>
        <v>32200.272000000001</v>
      </c>
    </row>
    <row r="15" spans="1:9" x14ac:dyDescent="0.2">
      <c r="E15" s="17"/>
      <c r="F15" s="17"/>
      <c r="G15" s="17"/>
      <c r="H15" s="17"/>
      <c r="I15" s="17"/>
    </row>
    <row r="16" spans="1:9" x14ac:dyDescent="0.2">
      <c r="A16" t="s">
        <v>374</v>
      </c>
      <c r="E16" s="17">
        <v>2548</v>
      </c>
      <c r="F16" s="17"/>
      <c r="G16" s="17">
        <v>29993.599999999999</v>
      </c>
      <c r="H16" s="17"/>
      <c r="I16" s="17">
        <f t="shared" si="0"/>
        <v>30893.407999999999</v>
      </c>
    </row>
    <row r="17" spans="1:9" x14ac:dyDescent="0.2">
      <c r="E17" s="17"/>
      <c r="F17" s="17"/>
      <c r="G17" s="17"/>
      <c r="H17" s="17"/>
      <c r="I17" s="17"/>
    </row>
    <row r="18" spans="1:9" x14ac:dyDescent="0.2">
      <c r="A18" t="s">
        <v>374</v>
      </c>
      <c r="E18" s="17"/>
      <c r="F18" s="17"/>
      <c r="G18" s="17">
        <v>30160</v>
      </c>
      <c r="H18" s="17"/>
      <c r="I18" s="17">
        <f t="shared" si="0"/>
        <v>31064.799999999999</v>
      </c>
    </row>
    <row r="19" spans="1:9" x14ac:dyDescent="0.2">
      <c r="E19" s="17"/>
      <c r="F19" s="17"/>
      <c r="G19" s="17"/>
      <c r="H19" s="17"/>
      <c r="I19" s="17"/>
    </row>
    <row r="20" spans="1:9" x14ac:dyDescent="0.2">
      <c r="A20" t="s">
        <v>374</v>
      </c>
      <c r="E20" s="17"/>
      <c r="F20" s="17"/>
      <c r="G20" s="17">
        <v>27040</v>
      </c>
      <c r="H20" s="17"/>
      <c r="I20" s="17">
        <f t="shared" si="0"/>
        <v>27851.200000000001</v>
      </c>
    </row>
    <row r="21" spans="1:9" x14ac:dyDescent="0.2">
      <c r="E21" s="17"/>
      <c r="F21" s="17"/>
      <c r="G21" s="17"/>
      <c r="H21" s="17"/>
      <c r="I21" s="52"/>
    </row>
    <row r="22" spans="1:9" x14ac:dyDescent="0.2">
      <c r="A22" t="s">
        <v>374</v>
      </c>
      <c r="E22" s="17"/>
      <c r="F22" s="17"/>
      <c r="G22" s="17">
        <v>0</v>
      </c>
      <c r="H22" s="17"/>
      <c r="I22" s="17">
        <v>29120</v>
      </c>
    </row>
    <row r="23" spans="1:9" x14ac:dyDescent="0.2">
      <c r="E23" s="17"/>
      <c r="F23" s="17"/>
      <c r="G23" s="17"/>
      <c r="H23" s="17"/>
      <c r="I23" s="17"/>
    </row>
    <row r="24" spans="1:9" x14ac:dyDescent="0.2">
      <c r="A24" t="s">
        <v>374</v>
      </c>
      <c r="E24" s="17"/>
      <c r="F24" s="17"/>
      <c r="G24" s="17">
        <v>0</v>
      </c>
      <c r="H24" s="17"/>
      <c r="I24" s="17">
        <v>29120</v>
      </c>
    </row>
    <row r="25" spans="1:9" x14ac:dyDescent="0.2">
      <c r="E25" s="17"/>
      <c r="F25" s="17"/>
      <c r="G25" s="17"/>
      <c r="H25" s="17"/>
      <c r="I25" s="17"/>
    </row>
    <row r="26" spans="1:9" x14ac:dyDescent="0.2">
      <c r="A26" s="24" t="s">
        <v>899</v>
      </c>
      <c r="G26" s="23">
        <f>SUM(G8:G24)</f>
        <v>226046.6</v>
      </c>
      <c r="H26" s="23"/>
      <c r="I26" s="23">
        <f>SUM(I8:I24)</f>
        <v>293095.00800000003</v>
      </c>
    </row>
    <row r="27" spans="1:9" x14ac:dyDescent="0.2">
      <c r="E27" s="17"/>
      <c r="F27" s="17"/>
      <c r="G27" s="17"/>
      <c r="H27" s="17"/>
      <c r="I27" s="17"/>
    </row>
    <row r="28" spans="1:9" x14ac:dyDescent="0.2">
      <c r="A28" s="24" t="s">
        <v>906</v>
      </c>
      <c r="E28" s="17"/>
      <c r="F28" s="17"/>
      <c r="G28" s="17"/>
      <c r="H28" s="17"/>
      <c r="I28" s="17">
        <f>I26*0.05</f>
        <v>14654.750400000003</v>
      </c>
    </row>
    <row r="29" spans="1:9" x14ac:dyDescent="0.2">
      <c r="E29" s="17"/>
      <c r="F29" s="17"/>
      <c r="G29" s="17"/>
      <c r="H29" s="17"/>
      <c r="I29" s="17"/>
    </row>
    <row r="30" spans="1:9" x14ac:dyDescent="0.2">
      <c r="A30" s="24" t="s">
        <v>907</v>
      </c>
      <c r="E30" s="17"/>
      <c r="F30" s="17"/>
      <c r="G30" s="17"/>
      <c r="H30" s="17"/>
      <c r="I30" s="17">
        <f>SUM(I26:I28)</f>
        <v>307749.75840000005</v>
      </c>
    </row>
  </sheetData>
  <pageMargins left="0.7" right="0.7" top="0.75" bottom="0.75" header="0.3" footer="0.3"/>
  <pageSetup scale="9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76"/>
  <sheetViews>
    <sheetView zoomScaleNormal="100" workbookViewId="0">
      <selection activeCell="B42" sqref="B42"/>
    </sheetView>
  </sheetViews>
  <sheetFormatPr defaultRowHeight="12.75" x14ac:dyDescent="0.2"/>
  <cols>
    <col min="3" max="3" width="50.5703125" customWidth="1"/>
    <col min="4" max="4" width="3" customWidth="1"/>
  </cols>
  <sheetData>
    <row r="2" spans="1:7" x14ac:dyDescent="0.2">
      <c r="A2" s="7" t="s">
        <v>303</v>
      </c>
      <c r="B2" s="7"/>
      <c r="C2" s="7"/>
      <c r="D2" s="7"/>
      <c r="E2" s="7"/>
      <c r="G2" s="7"/>
    </row>
    <row r="3" spans="1:7" x14ac:dyDescent="0.2">
      <c r="A3" s="7"/>
      <c r="B3" s="7"/>
      <c r="C3" s="7"/>
      <c r="D3" s="7"/>
      <c r="E3" s="7"/>
      <c r="G3" s="7"/>
    </row>
    <row r="4" spans="1:7" x14ac:dyDescent="0.2">
      <c r="A4" s="7" t="s">
        <v>304</v>
      </c>
      <c r="B4" s="7"/>
      <c r="C4" s="7" t="s">
        <v>305</v>
      </c>
      <c r="D4" s="7"/>
      <c r="E4" s="24"/>
      <c r="G4" s="24"/>
    </row>
    <row r="5" spans="1:7" x14ac:dyDescent="0.2">
      <c r="A5" s="7" t="s">
        <v>306</v>
      </c>
      <c r="B5" s="7"/>
      <c r="C5" s="7" t="s">
        <v>343</v>
      </c>
      <c r="D5" s="7"/>
    </row>
    <row r="6" spans="1:7" x14ac:dyDescent="0.2">
      <c r="A6" s="7"/>
      <c r="B6" s="7"/>
      <c r="C6" s="7"/>
      <c r="D6" s="7"/>
      <c r="E6" s="15" t="s">
        <v>658</v>
      </c>
      <c r="G6" s="15" t="s">
        <v>805</v>
      </c>
    </row>
    <row r="7" spans="1:7" x14ac:dyDescent="0.2">
      <c r="A7" s="8" t="s">
        <v>308</v>
      </c>
      <c r="B7" s="7"/>
      <c r="C7" s="9" t="s">
        <v>309</v>
      </c>
      <c r="D7" s="7"/>
      <c r="E7" s="9" t="s">
        <v>310</v>
      </c>
      <c r="G7" s="9" t="s">
        <v>781</v>
      </c>
    </row>
    <row r="9" spans="1:7" ht="14.25" x14ac:dyDescent="0.2">
      <c r="A9" s="19">
        <v>510.03</v>
      </c>
      <c r="B9" s="19"/>
      <c r="C9" s="19" t="s">
        <v>43</v>
      </c>
      <c r="D9" s="19"/>
      <c r="E9" s="20">
        <v>20000</v>
      </c>
      <c r="G9" s="20">
        <v>500</v>
      </c>
    </row>
    <row r="10" spans="1:7" ht="14.25" x14ac:dyDescent="0.2">
      <c r="A10" s="19"/>
      <c r="B10" s="19"/>
      <c r="C10" s="19"/>
      <c r="D10" s="19"/>
      <c r="E10" s="20"/>
      <c r="G10" s="20"/>
    </row>
    <row r="11" spans="1:7" ht="14.25" x14ac:dyDescent="0.2">
      <c r="A11" s="21">
        <v>510.05</v>
      </c>
      <c r="B11" s="19"/>
      <c r="C11" s="32" t="s">
        <v>834</v>
      </c>
      <c r="D11" s="19"/>
      <c r="E11" s="20"/>
      <c r="G11" s="20">
        <v>92378</v>
      </c>
    </row>
    <row r="12" spans="1:7" ht="14.25" x14ac:dyDescent="0.2">
      <c r="A12" s="21"/>
      <c r="B12" s="19"/>
      <c r="C12" s="19" t="s">
        <v>844</v>
      </c>
      <c r="D12" s="19"/>
      <c r="E12" s="20"/>
      <c r="G12" s="20"/>
    </row>
    <row r="13" spans="1:7" ht="14.25" x14ac:dyDescent="0.2">
      <c r="A13" s="21"/>
      <c r="B13" s="19"/>
      <c r="C13" s="19" t="s">
        <v>845</v>
      </c>
      <c r="D13" s="19"/>
      <c r="E13" s="10"/>
      <c r="G13" s="10"/>
    </row>
    <row r="14" spans="1:7" ht="14.25" x14ac:dyDescent="0.2">
      <c r="A14" s="21"/>
      <c r="B14" s="19"/>
      <c r="C14" s="19" t="s">
        <v>830</v>
      </c>
      <c r="D14" s="19"/>
      <c r="E14" s="20"/>
      <c r="G14" s="20"/>
    </row>
    <row r="15" spans="1:7" ht="14.25" x14ac:dyDescent="0.2">
      <c r="A15" s="21"/>
      <c r="B15" s="19"/>
      <c r="C15" s="19" t="s">
        <v>846</v>
      </c>
      <c r="D15" s="19"/>
      <c r="E15" s="20"/>
      <c r="G15" s="20"/>
    </row>
    <row r="16" spans="1:7" ht="14.25" x14ac:dyDescent="0.2">
      <c r="A16" s="21"/>
      <c r="B16" s="19"/>
      <c r="C16" s="19" t="s">
        <v>847</v>
      </c>
      <c r="D16" s="19"/>
      <c r="E16" s="20"/>
      <c r="G16" s="20"/>
    </row>
    <row r="17" spans="1:7" ht="14.25" x14ac:dyDescent="0.2">
      <c r="A17" s="21"/>
      <c r="B17" s="19"/>
      <c r="C17" s="19"/>
      <c r="D17" s="19"/>
      <c r="E17" s="20"/>
      <c r="G17" s="20"/>
    </row>
    <row r="18" spans="1:7" ht="14.25" x14ac:dyDescent="0.2">
      <c r="A18" s="21">
        <v>510.06</v>
      </c>
      <c r="B18" s="19"/>
      <c r="C18" s="19" t="s">
        <v>317</v>
      </c>
      <c r="D18" s="19"/>
      <c r="E18" s="20">
        <v>12728</v>
      </c>
      <c r="G18" s="20">
        <f>307750*0.0765</f>
        <v>23542.875</v>
      </c>
    </row>
    <row r="19" spans="1:7" ht="14.25" x14ac:dyDescent="0.2">
      <c r="A19" s="21">
        <v>510.07</v>
      </c>
      <c r="B19" s="19"/>
      <c r="C19" s="19" t="s">
        <v>782</v>
      </c>
      <c r="D19" s="19"/>
      <c r="E19" s="20">
        <v>8469</v>
      </c>
      <c r="G19" s="20">
        <f>307750*0.0464</f>
        <v>14279.599999999999</v>
      </c>
    </row>
    <row r="20" spans="1:7" ht="14.25" x14ac:dyDescent="0.2">
      <c r="A20" s="21">
        <v>510.08</v>
      </c>
      <c r="B20" s="19"/>
      <c r="C20" s="19" t="s">
        <v>375</v>
      </c>
      <c r="D20" s="19"/>
      <c r="E20" s="20">
        <v>10515</v>
      </c>
      <c r="G20" s="20"/>
    </row>
    <row r="21" spans="1:7" ht="14.25" x14ac:dyDescent="0.2">
      <c r="A21" s="21">
        <v>510.09</v>
      </c>
      <c r="B21" s="19"/>
      <c r="C21" s="19" t="s">
        <v>541</v>
      </c>
      <c r="D21" s="19"/>
      <c r="E21" s="20">
        <v>1664</v>
      </c>
      <c r="G21" s="20">
        <v>0</v>
      </c>
    </row>
    <row r="22" spans="1:7" ht="14.25" x14ac:dyDescent="0.2">
      <c r="A22" s="21">
        <v>510.11</v>
      </c>
      <c r="B22" s="19"/>
      <c r="C22" s="19" t="s">
        <v>848</v>
      </c>
      <c r="D22" s="19"/>
      <c r="E22" s="20">
        <v>0</v>
      </c>
      <c r="G22" s="20">
        <v>1800</v>
      </c>
    </row>
    <row r="23" spans="1:7" ht="14.25" x14ac:dyDescent="0.2">
      <c r="A23" s="21">
        <v>510.12</v>
      </c>
      <c r="B23" s="19"/>
      <c r="C23" s="19" t="s">
        <v>542</v>
      </c>
      <c r="D23" s="19"/>
      <c r="E23" s="20">
        <v>3600</v>
      </c>
      <c r="G23" s="20"/>
    </row>
    <row r="24" spans="1:7" ht="14.25" x14ac:dyDescent="0.2">
      <c r="A24" s="21"/>
      <c r="B24" s="19"/>
      <c r="C24" s="19"/>
      <c r="D24" s="19"/>
      <c r="E24" s="20"/>
      <c r="G24" s="20"/>
    </row>
    <row r="25" spans="1:7" ht="14.25" x14ac:dyDescent="0.2">
      <c r="A25" s="21">
        <v>520.01</v>
      </c>
      <c r="B25" s="19"/>
      <c r="C25" s="19" t="s">
        <v>133</v>
      </c>
      <c r="D25" s="19"/>
      <c r="E25" s="20">
        <v>400</v>
      </c>
      <c r="G25" s="20">
        <v>400</v>
      </c>
    </row>
    <row r="26" spans="1:7" ht="14.25" x14ac:dyDescent="0.2">
      <c r="A26" s="21">
        <v>520.03</v>
      </c>
      <c r="B26" s="19"/>
      <c r="C26" s="19" t="s">
        <v>849</v>
      </c>
      <c r="D26" s="19"/>
      <c r="E26" s="20">
        <v>150</v>
      </c>
      <c r="G26" s="20">
        <v>500</v>
      </c>
    </row>
    <row r="27" spans="1:7" ht="14.25" x14ac:dyDescent="0.2">
      <c r="A27" s="21">
        <v>520.04</v>
      </c>
      <c r="B27" s="19"/>
      <c r="C27" s="19" t="s">
        <v>840</v>
      </c>
      <c r="D27" s="19"/>
      <c r="E27" s="20">
        <v>4500</v>
      </c>
      <c r="G27" s="20">
        <v>10000</v>
      </c>
    </row>
    <row r="28" spans="1:7" ht="14.25" x14ac:dyDescent="0.2">
      <c r="A28" s="21">
        <v>520.05999999999995</v>
      </c>
      <c r="B28" s="19"/>
      <c r="C28" s="19" t="s">
        <v>199</v>
      </c>
      <c r="D28" s="19"/>
      <c r="E28" s="20">
        <v>5000</v>
      </c>
      <c r="G28" s="20">
        <v>10000</v>
      </c>
    </row>
    <row r="29" spans="1:7" ht="14.25" x14ac:dyDescent="0.2">
      <c r="A29" s="21">
        <v>520.07000000000005</v>
      </c>
      <c r="B29" s="19"/>
      <c r="C29" s="19" t="s">
        <v>850</v>
      </c>
      <c r="D29" s="19"/>
      <c r="E29" s="20">
        <v>2000</v>
      </c>
      <c r="G29" s="20">
        <v>2000</v>
      </c>
    </row>
    <row r="30" spans="1:7" ht="14.25" x14ac:dyDescent="0.2">
      <c r="A30" s="21">
        <v>520.08000000000004</v>
      </c>
      <c r="B30" s="19"/>
      <c r="C30" s="19" t="s">
        <v>435</v>
      </c>
      <c r="D30" s="19"/>
      <c r="E30" s="20">
        <v>150</v>
      </c>
      <c r="G30" s="20">
        <v>500</v>
      </c>
    </row>
    <row r="31" spans="1:7" ht="14.25" x14ac:dyDescent="0.2">
      <c r="A31" s="21">
        <v>520.09</v>
      </c>
      <c r="B31" s="19"/>
      <c r="C31" s="19" t="s">
        <v>180</v>
      </c>
      <c r="D31" s="19"/>
      <c r="E31" s="20">
        <v>5000</v>
      </c>
      <c r="G31" s="20">
        <v>5000</v>
      </c>
    </row>
    <row r="32" spans="1:7" ht="14.25" x14ac:dyDescent="0.2">
      <c r="A32" s="21">
        <v>520.1</v>
      </c>
      <c r="B32" s="19"/>
      <c r="C32" s="19" t="s">
        <v>851</v>
      </c>
      <c r="D32" s="19"/>
      <c r="E32" s="20">
        <v>1500</v>
      </c>
      <c r="G32" s="20">
        <v>2000</v>
      </c>
    </row>
    <row r="33" spans="1:7" ht="14.25" x14ac:dyDescent="0.2">
      <c r="A33" s="21">
        <v>520.12</v>
      </c>
      <c r="C33" s="19" t="s">
        <v>204</v>
      </c>
      <c r="E33" s="20">
        <v>2000</v>
      </c>
      <c r="G33" s="20">
        <v>2000</v>
      </c>
    </row>
    <row r="35" spans="1:7" ht="14.25" x14ac:dyDescent="0.2">
      <c r="A35" s="21">
        <v>530.01</v>
      </c>
      <c r="C35" s="19" t="s">
        <v>139</v>
      </c>
      <c r="E35" s="20">
        <v>2500</v>
      </c>
      <c r="G35" s="20">
        <v>2500</v>
      </c>
    </row>
    <row r="36" spans="1:7" ht="14.25" x14ac:dyDescent="0.2">
      <c r="A36" s="21">
        <v>530.02</v>
      </c>
      <c r="B36" s="19"/>
      <c r="C36" s="19" t="s">
        <v>436</v>
      </c>
      <c r="D36" s="19"/>
      <c r="E36" s="20">
        <v>4000</v>
      </c>
      <c r="G36" s="20"/>
    </row>
    <row r="37" spans="1:7" ht="14.25" x14ac:dyDescent="0.2">
      <c r="A37" s="21"/>
      <c r="B37" s="19"/>
      <c r="C37" s="19" t="s">
        <v>377</v>
      </c>
      <c r="D37" s="19"/>
      <c r="E37" s="22">
        <v>1000</v>
      </c>
      <c r="G37" s="22"/>
    </row>
    <row r="38" spans="1:7" ht="14.25" x14ac:dyDescent="0.2">
      <c r="A38" s="21"/>
      <c r="B38" s="19"/>
      <c r="C38" s="19" t="s">
        <v>12</v>
      </c>
      <c r="D38" s="19"/>
      <c r="E38" s="20">
        <v>8000</v>
      </c>
      <c r="G38" s="20">
        <v>10000</v>
      </c>
    </row>
    <row r="39" spans="1:7" ht="14.25" x14ac:dyDescent="0.2">
      <c r="A39" s="21">
        <v>530.03</v>
      </c>
      <c r="B39" s="19"/>
      <c r="C39" s="19" t="s">
        <v>475</v>
      </c>
      <c r="D39" s="19"/>
      <c r="E39" s="20">
        <v>0</v>
      </c>
      <c r="G39" s="20">
        <v>200</v>
      </c>
    </row>
    <row r="40" spans="1:7" ht="14.25" x14ac:dyDescent="0.2">
      <c r="A40" s="21">
        <v>530.05999999999995</v>
      </c>
      <c r="B40" s="19"/>
      <c r="C40" s="19" t="s">
        <v>141</v>
      </c>
      <c r="D40" s="19"/>
      <c r="E40" s="20">
        <v>0</v>
      </c>
      <c r="G40" s="20">
        <v>200</v>
      </c>
    </row>
    <row r="41" spans="1:7" ht="14.25" x14ac:dyDescent="0.2">
      <c r="A41" s="21">
        <v>530.11</v>
      </c>
      <c r="B41" s="19"/>
      <c r="C41" s="19" t="s">
        <v>378</v>
      </c>
      <c r="D41" s="19"/>
      <c r="E41" s="20">
        <v>60500</v>
      </c>
      <c r="G41" s="20"/>
    </row>
    <row r="42" spans="1:7" ht="14.25" x14ac:dyDescent="0.2">
      <c r="A42" s="21"/>
      <c r="B42" s="19"/>
      <c r="C42" s="19" t="s">
        <v>379</v>
      </c>
      <c r="D42" s="19"/>
      <c r="E42" s="22">
        <v>1500</v>
      </c>
      <c r="G42" s="22"/>
    </row>
    <row r="43" spans="1:7" ht="14.25" x14ac:dyDescent="0.2">
      <c r="A43" s="21"/>
      <c r="B43" s="19"/>
      <c r="C43" s="19" t="s">
        <v>12</v>
      </c>
      <c r="D43" s="19"/>
      <c r="E43" s="20">
        <f>SUM(E41:E42)</f>
        <v>62000</v>
      </c>
      <c r="G43" s="20">
        <v>62000</v>
      </c>
    </row>
    <row r="44" spans="1:7" ht="14.25" x14ac:dyDescent="0.2">
      <c r="A44" s="21">
        <v>530.15</v>
      </c>
      <c r="B44" s="19"/>
      <c r="C44" s="19" t="s">
        <v>870</v>
      </c>
      <c r="D44" s="19"/>
      <c r="E44" s="20">
        <v>0</v>
      </c>
      <c r="G44" s="20">
        <v>15000</v>
      </c>
    </row>
    <row r="45" spans="1:7" ht="14.25" x14ac:dyDescent="0.2">
      <c r="A45" s="21"/>
      <c r="B45" s="19"/>
      <c r="C45" s="19"/>
      <c r="D45" s="19"/>
      <c r="E45" s="20"/>
      <c r="G45" s="20"/>
    </row>
    <row r="46" spans="1:7" ht="14.25" x14ac:dyDescent="0.2">
      <c r="A46" s="21">
        <v>540.01</v>
      </c>
      <c r="B46" s="19"/>
      <c r="C46" s="19" t="s">
        <v>321</v>
      </c>
      <c r="D46" s="19"/>
      <c r="E46" s="20">
        <v>2000</v>
      </c>
      <c r="G46" s="20">
        <v>2000</v>
      </c>
    </row>
    <row r="47" spans="1:7" ht="14.25" x14ac:dyDescent="0.2">
      <c r="A47" s="21">
        <v>540.02</v>
      </c>
      <c r="B47" s="19"/>
      <c r="C47" s="19" t="s">
        <v>409</v>
      </c>
      <c r="D47" s="19"/>
      <c r="E47" s="20">
        <v>600</v>
      </c>
      <c r="G47" s="20">
        <v>2500</v>
      </c>
    </row>
    <row r="48" spans="1:7" ht="14.25" x14ac:dyDescent="0.2">
      <c r="A48" s="21">
        <v>540.04999999999995</v>
      </c>
      <c r="B48" s="19"/>
      <c r="C48" s="19" t="s">
        <v>410</v>
      </c>
      <c r="D48" s="19"/>
      <c r="E48" s="20">
        <v>250</v>
      </c>
      <c r="G48" s="20">
        <v>2500</v>
      </c>
    </row>
    <row r="49" spans="1:7" ht="14.25" x14ac:dyDescent="0.2">
      <c r="A49" s="21">
        <v>540.05999999999995</v>
      </c>
      <c r="B49" s="19"/>
      <c r="C49" s="19" t="s">
        <v>380</v>
      </c>
      <c r="D49" s="19"/>
      <c r="E49" s="20">
        <v>36000</v>
      </c>
      <c r="G49" s="20">
        <v>36000</v>
      </c>
    </row>
    <row r="50" spans="1:7" ht="14.25" x14ac:dyDescent="0.2">
      <c r="A50" s="21">
        <v>540.07000000000005</v>
      </c>
      <c r="B50" s="19"/>
      <c r="C50" s="19" t="s">
        <v>381</v>
      </c>
      <c r="D50" s="19"/>
      <c r="E50" s="20"/>
      <c r="G50" s="20"/>
    </row>
    <row r="51" spans="1:7" ht="14.25" x14ac:dyDescent="0.2">
      <c r="A51" s="21"/>
      <c r="B51" s="19"/>
      <c r="C51" s="19" t="s">
        <v>382</v>
      </c>
      <c r="D51" s="19"/>
      <c r="E51" s="20">
        <f>3*2500</f>
        <v>7500</v>
      </c>
      <c r="G51" s="20"/>
    </row>
    <row r="52" spans="1:7" ht="14.25" x14ac:dyDescent="0.2">
      <c r="A52" s="21"/>
      <c r="B52" s="19"/>
      <c r="C52" s="19" t="s">
        <v>383</v>
      </c>
      <c r="D52" s="19"/>
      <c r="E52" s="22">
        <v>26000</v>
      </c>
      <c r="G52" s="22"/>
    </row>
    <row r="53" spans="1:7" ht="14.25" x14ac:dyDescent="0.2">
      <c r="A53" s="21"/>
      <c r="B53" s="19"/>
      <c r="C53" s="19" t="s">
        <v>12</v>
      </c>
      <c r="D53" s="19"/>
      <c r="E53" s="20">
        <f>SUM(E50:E52)</f>
        <v>33500</v>
      </c>
      <c r="G53" s="20">
        <v>50000</v>
      </c>
    </row>
    <row r="54" spans="1:7" ht="14.25" x14ac:dyDescent="0.2">
      <c r="A54" s="21"/>
      <c r="B54" s="19"/>
      <c r="C54" s="19"/>
      <c r="D54" s="19"/>
      <c r="E54" s="20"/>
      <c r="G54" s="20"/>
    </row>
    <row r="55" spans="1:7" ht="14.25" x14ac:dyDescent="0.2">
      <c r="A55" s="21">
        <v>550.01</v>
      </c>
      <c r="B55" s="19"/>
      <c r="C55" s="19" t="s">
        <v>173</v>
      </c>
      <c r="D55" s="19"/>
      <c r="E55" s="20">
        <v>250</v>
      </c>
      <c r="G55" s="20">
        <v>250</v>
      </c>
    </row>
    <row r="56" spans="1:7" ht="14.25" x14ac:dyDescent="0.2">
      <c r="A56" s="21">
        <v>550.02</v>
      </c>
      <c r="B56" s="19"/>
      <c r="C56" s="19" t="s">
        <v>174</v>
      </c>
      <c r="D56" s="19"/>
      <c r="E56" s="20">
        <v>1500</v>
      </c>
      <c r="G56" s="20">
        <v>2000</v>
      </c>
    </row>
    <row r="57" spans="1:7" ht="14.25" x14ac:dyDescent="0.2">
      <c r="A57" s="21">
        <v>550.03</v>
      </c>
      <c r="B57" s="19"/>
      <c r="C57" s="19" t="s">
        <v>885</v>
      </c>
      <c r="D57" s="19"/>
      <c r="E57" s="20">
        <v>6500</v>
      </c>
      <c r="G57" s="20">
        <v>6500</v>
      </c>
    </row>
    <row r="58" spans="1:7" ht="14.25" x14ac:dyDescent="0.2">
      <c r="A58" s="21">
        <v>550.04</v>
      </c>
      <c r="B58" s="19"/>
      <c r="C58" s="19" t="s">
        <v>175</v>
      </c>
      <c r="D58" s="19"/>
      <c r="E58" s="20">
        <v>5000</v>
      </c>
      <c r="G58" s="20">
        <v>5000</v>
      </c>
    </row>
    <row r="59" spans="1:7" ht="14.25" x14ac:dyDescent="0.2">
      <c r="A59" s="21"/>
      <c r="B59" s="19"/>
      <c r="C59" s="19"/>
      <c r="D59" s="19"/>
      <c r="E59" s="20"/>
      <c r="G59" s="20"/>
    </row>
    <row r="60" spans="1:7" ht="14.25" x14ac:dyDescent="0.2">
      <c r="A60" s="21">
        <v>560.02</v>
      </c>
      <c r="B60" s="19"/>
      <c r="C60" s="19" t="s">
        <v>150</v>
      </c>
      <c r="D60" s="19"/>
      <c r="E60" s="20">
        <v>100</v>
      </c>
      <c r="G60" s="20">
        <v>100</v>
      </c>
    </row>
    <row r="61" spans="1:7" ht="14.25" x14ac:dyDescent="0.2">
      <c r="A61" s="21">
        <v>560.09</v>
      </c>
      <c r="B61" s="19"/>
      <c r="C61" s="19" t="s">
        <v>408</v>
      </c>
      <c r="D61" s="19"/>
      <c r="E61" s="20">
        <v>500</v>
      </c>
      <c r="G61" s="20">
        <v>1000</v>
      </c>
    </row>
    <row r="62" spans="1:7" ht="14.25" x14ac:dyDescent="0.2">
      <c r="A62" s="21">
        <v>560.1</v>
      </c>
      <c r="B62" s="19"/>
      <c r="C62" s="19" t="s">
        <v>151</v>
      </c>
      <c r="D62" s="19"/>
      <c r="E62" s="20">
        <v>500</v>
      </c>
      <c r="G62" s="20">
        <v>500</v>
      </c>
    </row>
    <row r="63" spans="1:7" ht="14.25" x14ac:dyDescent="0.2">
      <c r="A63" s="21"/>
      <c r="B63" s="19"/>
      <c r="C63" s="19"/>
      <c r="D63" s="19"/>
      <c r="E63" s="20"/>
      <c r="G63" s="20"/>
    </row>
    <row r="64" spans="1:7" ht="14.25" x14ac:dyDescent="0.2">
      <c r="A64" s="21">
        <v>580.09</v>
      </c>
      <c r="B64" s="19"/>
      <c r="C64" s="19" t="s">
        <v>154</v>
      </c>
      <c r="D64" s="19"/>
      <c r="E64" s="20">
        <v>800</v>
      </c>
      <c r="G64" s="20">
        <v>2500</v>
      </c>
    </row>
    <row r="65" spans="1:7" ht="14.25" x14ac:dyDescent="0.2">
      <c r="A65" s="21">
        <v>580.13</v>
      </c>
      <c r="B65" s="19"/>
      <c r="C65" s="19" t="s">
        <v>209</v>
      </c>
      <c r="D65" s="19"/>
      <c r="E65" s="20">
        <v>700</v>
      </c>
      <c r="G65" s="20">
        <v>2000</v>
      </c>
    </row>
    <row r="66" spans="1:7" ht="14.25" x14ac:dyDescent="0.2">
      <c r="A66" s="21">
        <v>580.14</v>
      </c>
      <c r="B66" s="19"/>
      <c r="C66" s="19" t="s">
        <v>580</v>
      </c>
      <c r="D66" s="19"/>
      <c r="E66" s="20">
        <v>3000</v>
      </c>
      <c r="G66" s="20"/>
    </row>
    <row r="67" spans="1:7" s="76" customFormat="1" ht="14.25" x14ac:dyDescent="0.2">
      <c r="A67" s="21"/>
      <c r="B67" s="19"/>
      <c r="C67" s="19" t="s">
        <v>581</v>
      </c>
      <c r="D67" s="19"/>
      <c r="E67" s="22">
        <v>6000</v>
      </c>
      <c r="F67"/>
      <c r="G67" s="22"/>
    </row>
    <row r="68" spans="1:7" ht="14.25" x14ac:dyDescent="0.2">
      <c r="A68" s="21"/>
      <c r="B68" s="19"/>
      <c r="C68" s="19" t="s">
        <v>12</v>
      </c>
      <c r="D68" s="19"/>
      <c r="E68" s="20">
        <f>SUM(E66:E67)</f>
        <v>9000</v>
      </c>
      <c r="G68" s="20">
        <v>10000</v>
      </c>
    </row>
    <row r="69" spans="1:7" ht="14.25" x14ac:dyDescent="0.2">
      <c r="A69" s="21"/>
      <c r="B69" s="19"/>
      <c r="C69" s="19"/>
      <c r="D69" s="19"/>
      <c r="E69" s="20"/>
      <c r="G69" s="20"/>
    </row>
    <row r="70" spans="1:7" ht="14.25" x14ac:dyDescent="0.2">
      <c r="A70" s="21">
        <v>590.01</v>
      </c>
      <c r="B70" s="19"/>
      <c r="C70" s="19" t="s">
        <v>173</v>
      </c>
      <c r="D70" s="19"/>
      <c r="E70" s="20">
        <v>250</v>
      </c>
      <c r="G70" s="20">
        <v>250</v>
      </c>
    </row>
    <row r="71" spans="1:7" ht="14.25" x14ac:dyDescent="0.2">
      <c r="A71" s="21">
        <v>590.02</v>
      </c>
      <c r="B71" s="19"/>
      <c r="C71" s="19" t="s">
        <v>719</v>
      </c>
      <c r="D71" s="19"/>
      <c r="E71" s="20">
        <v>11000</v>
      </c>
      <c r="G71" s="20">
        <v>11000</v>
      </c>
    </row>
    <row r="72" spans="1:7" ht="14.25" x14ac:dyDescent="0.2">
      <c r="A72" s="21">
        <v>590.04</v>
      </c>
      <c r="B72" s="19"/>
      <c r="C72" s="19" t="s">
        <v>175</v>
      </c>
      <c r="D72" s="19"/>
      <c r="E72" s="20">
        <v>9000</v>
      </c>
      <c r="G72" s="20">
        <v>45000</v>
      </c>
    </row>
    <row r="73" spans="1:7" ht="14.25" x14ac:dyDescent="0.2">
      <c r="A73" s="21"/>
      <c r="B73" s="19"/>
      <c r="C73" s="19"/>
      <c r="D73" s="19"/>
      <c r="E73" s="20"/>
      <c r="G73" s="20"/>
    </row>
    <row r="74" spans="1:7" ht="14.25" x14ac:dyDescent="0.2">
      <c r="A74" s="21"/>
      <c r="B74" s="19"/>
      <c r="C74" s="19"/>
      <c r="D74" s="19"/>
      <c r="E74" s="20"/>
      <c r="G74" s="20"/>
    </row>
    <row r="75" spans="1:7" ht="14.25" x14ac:dyDescent="0.2">
      <c r="A75" s="19"/>
      <c r="B75" s="19"/>
      <c r="C75" s="19"/>
      <c r="D75" s="19"/>
      <c r="E75" s="20"/>
      <c r="G75" s="20"/>
    </row>
    <row r="76" spans="1:7" ht="14.25" x14ac:dyDescent="0.2">
      <c r="A76" s="19"/>
      <c r="B76" s="19"/>
      <c r="C76" s="19"/>
      <c r="D76" s="19"/>
      <c r="E76" s="20"/>
      <c r="G76" s="20"/>
    </row>
  </sheetData>
  <printOptions headings="1" gridLines="1"/>
  <pageMargins left="0.7" right="0.7" top="0.75" bottom="0.75" header="0.3" footer="0.3"/>
  <pageSetup scale="89" orientation="portrait" r:id="rId1"/>
  <rowBreaks count="1" manualBreakCount="1">
    <brk id="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25"/>
  <sheetViews>
    <sheetView workbookViewId="0">
      <selection activeCell="B5" sqref="B5"/>
    </sheetView>
  </sheetViews>
  <sheetFormatPr defaultRowHeight="12.75" x14ac:dyDescent="0.2"/>
  <cols>
    <col min="3" max="3" width="45.5703125" customWidth="1"/>
  </cols>
  <sheetData>
    <row r="2" spans="1:5" x14ac:dyDescent="0.2">
      <c r="A2" s="7" t="s">
        <v>303</v>
      </c>
      <c r="B2" s="7"/>
      <c r="C2" s="7"/>
      <c r="D2" s="7"/>
      <c r="E2" s="7"/>
    </row>
    <row r="3" spans="1:5" x14ac:dyDescent="0.2">
      <c r="A3" s="7"/>
      <c r="B3" s="7"/>
      <c r="C3" s="7"/>
      <c r="D3" s="7"/>
      <c r="E3" s="7"/>
    </row>
    <row r="4" spans="1:5" x14ac:dyDescent="0.2">
      <c r="A4" s="7" t="s">
        <v>304</v>
      </c>
      <c r="B4" s="7"/>
      <c r="C4" s="7" t="s">
        <v>305</v>
      </c>
      <c r="D4" s="7"/>
      <c r="E4" s="7"/>
    </row>
    <row r="5" spans="1:5" x14ac:dyDescent="0.2">
      <c r="A5" s="7" t="s">
        <v>306</v>
      </c>
      <c r="B5" s="7"/>
      <c r="C5" s="7" t="s">
        <v>344</v>
      </c>
      <c r="D5" s="7"/>
      <c r="E5" s="7"/>
    </row>
    <row r="6" spans="1:5" x14ac:dyDescent="0.2">
      <c r="A6" s="7"/>
      <c r="B6" s="7"/>
      <c r="C6" s="7"/>
      <c r="D6" s="7" t="s">
        <v>658</v>
      </c>
      <c r="E6" s="7" t="s">
        <v>805</v>
      </c>
    </row>
    <row r="7" spans="1:5" x14ac:dyDescent="0.2">
      <c r="A7" s="8" t="s">
        <v>308</v>
      </c>
      <c r="B7" s="7"/>
      <c r="C7" s="9" t="s">
        <v>309</v>
      </c>
      <c r="D7" s="9" t="s">
        <v>310</v>
      </c>
      <c r="E7" s="9" t="s">
        <v>781</v>
      </c>
    </row>
    <row r="9" spans="1:5" ht="14.25" x14ac:dyDescent="0.2">
      <c r="A9" s="21">
        <v>520.01</v>
      </c>
      <c r="B9" s="19"/>
      <c r="C9" s="19" t="s">
        <v>133</v>
      </c>
      <c r="D9" s="20">
        <v>100</v>
      </c>
      <c r="E9" s="20">
        <v>100</v>
      </c>
    </row>
    <row r="10" spans="1:5" ht="14.25" x14ac:dyDescent="0.2">
      <c r="A10" s="21">
        <v>520.05999999999995</v>
      </c>
      <c r="B10" s="19"/>
      <c r="C10" s="19" t="s">
        <v>384</v>
      </c>
      <c r="D10" s="20">
        <v>300</v>
      </c>
      <c r="E10" s="20">
        <v>300</v>
      </c>
    </row>
    <row r="11" spans="1:5" ht="14.25" x14ac:dyDescent="0.2">
      <c r="A11" s="21">
        <v>520.07000000000005</v>
      </c>
      <c r="B11" s="19"/>
      <c r="C11" s="19" t="s">
        <v>696</v>
      </c>
      <c r="D11" s="20">
        <v>500</v>
      </c>
      <c r="E11" s="20">
        <v>500</v>
      </c>
    </row>
    <row r="12" spans="1:5" ht="14.25" x14ac:dyDescent="0.2">
      <c r="A12" s="21"/>
      <c r="B12" s="19"/>
      <c r="C12" s="19"/>
      <c r="D12" s="20"/>
      <c r="E12" s="20"/>
    </row>
    <row r="13" spans="1:5" ht="14.25" x14ac:dyDescent="0.2">
      <c r="A13" s="21">
        <v>530.01</v>
      </c>
      <c r="B13" s="19"/>
      <c r="C13" s="19" t="s">
        <v>697</v>
      </c>
      <c r="D13" s="20">
        <v>500</v>
      </c>
      <c r="E13" s="20">
        <v>500</v>
      </c>
    </row>
    <row r="14" spans="1:5" ht="14.25" x14ac:dyDescent="0.2">
      <c r="A14" s="21">
        <v>530.13</v>
      </c>
      <c r="B14" s="19"/>
      <c r="C14" s="19" t="s">
        <v>260</v>
      </c>
      <c r="D14" s="20">
        <v>300</v>
      </c>
      <c r="E14" s="20">
        <v>300</v>
      </c>
    </row>
    <row r="15" spans="1:5" ht="14.25" x14ac:dyDescent="0.2">
      <c r="A15" s="21"/>
      <c r="B15" s="19"/>
      <c r="C15" s="19"/>
      <c r="D15" s="20"/>
      <c r="E15" s="20"/>
    </row>
    <row r="16" spans="1:5" ht="14.25" x14ac:dyDescent="0.2">
      <c r="A16" s="21">
        <v>540.07000000000005</v>
      </c>
      <c r="B16" s="19"/>
      <c r="C16" s="19" t="s">
        <v>474</v>
      </c>
      <c r="D16" s="20">
        <v>500</v>
      </c>
      <c r="E16" s="20">
        <v>500</v>
      </c>
    </row>
    <row r="17" spans="1:5" ht="14.25" x14ac:dyDescent="0.2">
      <c r="A17" s="21"/>
      <c r="B17" s="19"/>
      <c r="C17" s="19"/>
      <c r="D17" s="20"/>
      <c r="E17" s="20"/>
    </row>
    <row r="18" spans="1:5" ht="14.25" x14ac:dyDescent="0.2">
      <c r="A18" s="21">
        <v>560.1</v>
      </c>
      <c r="B18" s="19"/>
      <c r="C18" s="19" t="s">
        <v>185</v>
      </c>
      <c r="D18" s="20">
        <v>500</v>
      </c>
      <c r="E18" s="20">
        <v>500</v>
      </c>
    </row>
    <row r="19" spans="1:5" ht="14.25" x14ac:dyDescent="0.2">
      <c r="A19" s="21"/>
      <c r="B19" s="19"/>
      <c r="C19" s="19"/>
      <c r="D19" s="20"/>
      <c r="E19" s="20"/>
    </row>
    <row r="20" spans="1:5" ht="14.25" x14ac:dyDescent="0.2">
      <c r="A20" s="21">
        <v>590.02</v>
      </c>
      <c r="B20" s="19"/>
      <c r="C20" s="19" t="s">
        <v>174</v>
      </c>
      <c r="D20" s="20">
        <v>2500</v>
      </c>
      <c r="E20" s="20">
        <v>2500</v>
      </c>
    </row>
    <row r="21" spans="1:5" ht="14.25" x14ac:dyDescent="0.2">
      <c r="A21" s="21"/>
      <c r="B21" s="19"/>
      <c r="C21" s="19"/>
      <c r="D21" s="20"/>
      <c r="E21" s="20"/>
    </row>
    <row r="22" spans="1:5" ht="14.25" x14ac:dyDescent="0.2">
      <c r="A22" s="21"/>
      <c r="B22" s="19"/>
      <c r="C22" s="19"/>
      <c r="D22" s="20"/>
      <c r="E22" s="20"/>
    </row>
    <row r="23" spans="1:5" ht="14.25" x14ac:dyDescent="0.2">
      <c r="A23" s="21"/>
      <c r="B23" s="19"/>
      <c r="C23" s="19"/>
      <c r="D23" s="56">
        <f>SUM(D8:D22)</f>
        <v>5200</v>
      </c>
      <c r="E23" s="56"/>
    </row>
    <row r="24" spans="1:5" ht="14.25" x14ac:dyDescent="0.2">
      <c r="A24" s="21"/>
      <c r="B24" s="19"/>
      <c r="C24" s="19"/>
      <c r="D24" s="20"/>
      <c r="E24" s="20"/>
    </row>
    <row r="25" spans="1:5" ht="14.25" x14ac:dyDescent="0.2">
      <c r="A25" s="21"/>
      <c r="B25" s="19"/>
      <c r="C25" s="19"/>
      <c r="D25" s="20"/>
      <c r="E25" s="20"/>
    </row>
  </sheetData>
  <printOptions headings="1" gridLine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24"/>
  <sheetViews>
    <sheetView topLeftCell="A4" workbookViewId="0">
      <selection activeCell="C25" sqref="C25"/>
    </sheetView>
  </sheetViews>
  <sheetFormatPr defaultRowHeight="12.75" x14ac:dyDescent="0.2"/>
  <cols>
    <col min="3" max="3" width="43.28515625" customWidth="1"/>
  </cols>
  <sheetData>
    <row r="2" spans="1:5" x14ac:dyDescent="0.2">
      <c r="A2" s="7" t="s">
        <v>303</v>
      </c>
      <c r="B2" s="7"/>
      <c r="C2" s="7"/>
      <c r="D2" s="7"/>
      <c r="E2" s="7"/>
    </row>
    <row r="3" spans="1:5" x14ac:dyDescent="0.2">
      <c r="A3" s="7"/>
      <c r="B3" s="7"/>
      <c r="C3" s="7"/>
      <c r="D3" s="7"/>
      <c r="E3" s="7"/>
    </row>
    <row r="4" spans="1:5" x14ac:dyDescent="0.2">
      <c r="A4" s="7" t="s">
        <v>304</v>
      </c>
      <c r="B4" s="7"/>
      <c r="C4" s="7" t="s">
        <v>305</v>
      </c>
      <c r="D4" s="7"/>
      <c r="E4" s="7"/>
    </row>
    <row r="5" spans="1:5" x14ac:dyDescent="0.2">
      <c r="A5" s="7" t="s">
        <v>306</v>
      </c>
      <c r="B5" s="7"/>
      <c r="C5" s="7" t="s">
        <v>345</v>
      </c>
      <c r="D5" s="7"/>
      <c r="E5" s="7"/>
    </row>
    <row r="6" spans="1:5" x14ac:dyDescent="0.2">
      <c r="A6" s="7"/>
      <c r="B6" s="7"/>
      <c r="C6" s="7"/>
      <c r="D6" s="7" t="s">
        <v>658</v>
      </c>
      <c r="E6" s="7" t="s">
        <v>651</v>
      </c>
    </row>
    <row r="7" spans="1:5" x14ac:dyDescent="0.2">
      <c r="A7" s="8" t="s">
        <v>308</v>
      </c>
      <c r="B7" s="7"/>
      <c r="C7" s="9" t="s">
        <v>309</v>
      </c>
      <c r="D7" s="9" t="s">
        <v>310</v>
      </c>
      <c r="E7" s="9" t="s">
        <v>781</v>
      </c>
    </row>
    <row r="9" spans="1:5" ht="14.25" x14ac:dyDescent="0.2">
      <c r="A9" s="19">
        <v>510.03</v>
      </c>
      <c r="B9" s="19"/>
      <c r="C9" s="19" t="s">
        <v>461</v>
      </c>
      <c r="D9" s="20">
        <v>15000</v>
      </c>
      <c r="E9" s="20">
        <v>15000</v>
      </c>
    </row>
    <row r="10" spans="1:5" ht="14.25" x14ac:dyDescent="0.2">
      <c r="A10" s="19"/>
      <c r="B10" s="19"/>
      <c r="C10" s="19"/>
      <c r="D10" s="20"/>
      <c r="E10" s="20"/>
    </row>
    <row r="11" spans="1:5" ht="14.25" x14ac:dyDescent="0.2">
      <c r="A11" s="19">
        <v>520.09</v>
      </c>
      <c r="B11" s="19"/>
      <c r="C11" s="19" t="s">
        <v>180</v>
      </c>
      <c r="D11" s="20">
        <v>800</v>
      </c>
      <c r="E11" s="20">
        <v>800</v>
      </c>
    </row>
    <row r="12" spans="1:5" ht="14.25" x14ac:dyDescent="0.2">
      <c r="A12" s="21">
        <v>520.1</v>
      </c>
      <c r="B12" s="19"/>
      <c r="C12" s="19" t="s">
        <v>851</v>
      </c>
      <c r="D12" s="20">
        <v>0</v>
      </c>
      <c r="E12" s="20">
        <v>1000</v>
      </c>
    </row>
    <row r="13" spans="1:5" ht="14.25" x14ac:dyDescent="0.2">
      <c r="A13" s="19"/>
      <c r="B13" s="19"/>
      <c r="C13" s="19"/>
      <c r="D13" s="20"/>
      <c r="E13" s="20"/>
    </row>
    <row r="14" spans="1:5" ht="14.25" x14ac:dyDescent="0.2">
      <c r="A14" s="19">
        <v>530.03</v>
      </c>
      <c r="B14" s="19"/>
      <c r="C14" s="19" t="s">
        <v>385</v>
      </c>
      <c r="D14" s="20">
        <v>2000</v>
      </c>
      <c r="E14" s="20">
        <v>2000</v>
      </c>
    </row>
    <row r="15" spans="1:5" ht="14.25" x14ac:dyDescent="0.2">
      <c r="A15" s="21">
        <v>530.1</v>
      </c>
      <c r="B15" s="19"/>
      <c r="C15" s="19" t="s">
        <v>193</v>
      </c>
      <c r="D15" s="20">
        <v>500</v>
      </c>
      <c r="E15" s="20">
        <v>500</v>
      </c>
    </row>
    <row r="16" spans="1:5" ht="14.25" x14ac:dyDescent="0.2">
      <c r="A16" s="19">
        <v>530.11</v>
      </c>
      <c r="B16" s="19"/>
      <c r="C16" s="19" t="s">
        <v>2</v>
      </c>
      <c r="D16" s="20">
        <v>3700</v>
      </c>
      <c r="E16" s="20">
        <v>4500</v>
      </c>
    </row>
    <row r="17" spans="1:5" ht="14.25" x14ac:dyDescent="0.2">
      <c r="A17" s="19"/>
      <c r="B17" s="19"/>
      <c r="C17" s="19"/>
      <c r="D17" s="20"/>
      <c r="E17" s="20"/>
    </row>
    <row r="18" spans="1:5" ht="14.25" x14ac:dyDescent="0.2">
      <c r="A18" s="19">
        <v>540.01</v>
      </c>
      <c r="B18" s="19"/>
      <c r="C18" s="19" t="s">
        <v>877</v>
      </c>
      <c r="D18" s="20">
        <v>100</v>
      </c>
      <c r="E18" s="20">
        <v>5000</v>
      </c>
    </row>
    <row r="19" spans="1:5" ht="14.25" x14ac:dyDescent="0.2">
      <c r="A19" s="19">
        <v>540.07000000000005</v>
      </c>
      <c r="B19" s="19"/>
      <c r="C19" s="19" t="s">
        <v>386</v>
      </c>
      <c r="D19" s="20">
        <v>5000</v>
      </c>
      <c r="E19" s="20">
        <v>5000</v>
      </c>
    </row>
    <row r="20" spans="1:5" ht="14.25" x14ac:dyDescent="0.2">
      <c r="A20" s="19">
        <v>540.09</v>
      </c>
      <c r="B20" s="19"/>
      <c r="C20" s="19" t="s">
        <v>387</v>
      </c>
      <c r="D20" s="20">
        <v>25000</v>
      </c>
      <c r="E20" s="20">
        <v>25000</v>
      </c>
    </row>
    <row r="21" spans="1:5" ht="15" x14ac:dyDescent="0.25">
      <c r="A21" s="511" t="s">
        <v>9</v>
      </c>
      <c r="B21" s="19"/>
      <c r="C21" s="19"/>
      <c r="D21" s="465">
        <f>SUM(D9:D20)</f>
        <v>52100</v>
      </c>
      <c r="E21" s="465">
        <f>SUM(E9:E20)</f>
        <v>58800</v>
      </c>
    </row>
    <row r="22" spans="1:5" ht="14.25" x14ac:dyDescent="0.2">
      <c r="A22" s="19"/>
      <c r="B22" s="19"/>
      <c r="C22" s="19"/>
      <c r="D22" s="20"/>
      <c r="E22" s="20"/>
    </row>
    <row r="23" spans="1:5" ht="14.25" x14ac:dyDescent="0.2">
      <c r="A23" s="19"/>
      <c r="B23" s="19"/>
      <c r="C23" s="19"/>
      <c r="D23" s="20"/>
      <c r="E23" s="20"/>
    </row>
    <row r="24" spans="1:5" ht="14.25" x14ac:dyDescent="0.2">
      <c r="A24" s="19"/>
      <c r="B24" s="19"/>
      <c r="C24" s="19"/>
      <c r="D24" s="20"/>
      <c r="E24" s="20"/>
    </row>
  </sheetData>
  <printOptions headings="1" gridLine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F24"/>
  <sheetViews>
    <sheetView zoomScaleNormal="100" workbookViewId="0">
      <selection activeCell="A17" sqref="A17"/>
    </sheetView>
  </sheetViews>
  <sheetFormatPr defaultRowHeight="12.75" x14ac:dyDescent="0.2"/>
  <cols>
    <col min="3" max="3" width="39.42578125" customWidth="1"/>
  </cols>
  <sheetData>
    <row r="3" spans="1:6" x14ac:dyDescent="0.2">
      <c r="A3" s="7" t="s">
        <v>303</v>
      </c>
      <c r="B3" s="7"/>
      <c r="C3" s="7"/>
      <c r="D3" s="7"/>
      <c r="F3" s="7"/>
    </row>
    <row r="4" spans="1:6" x14ac:dyDescent="0.2">
      <c r="A4" s="7"/>
      <c r="B4" s="7"/>
      <c r="C4" s="7"/>
      <c r="D4" s="7"/>
      <c r="F4" s="7"/>
    </row>
    <row r="5" spans="1:6" x14ac:dyDescent="0.2">
      <c r="A5" s="7" t="s">
        <v>304</v>
      </c>
      <c r="B5" s="7"/>
      <c r="C5" s="7" t="s">
        <v>305</v>
      </c>
    </row>
    <row r="6" spans="1:6" x14ac:dyDescent="0.2">
      <c r="A6" s="7" t="s">
        <v>306</v>
      </c>
      <c r="B6" s="7"/>
      <c r="C6" s="7" t="s">
        <v>346</v>
      </c>
      <c r="D6" s="24"/>
      <c r="F6" s="24"/>
    </row>
    <row r="7" spans="1:6" x14ac:dyDescent="0.2">
      <c r="A7" s="7"/>
      <c r="B7" s="7"/>
      <c r="C7" s="7"/>
      <c r="D7" s="61" t="s">
        <v>658</v>
      </c>
      <c r="F7" s="61" t="s">
        <v>805</v>
      </c>
    </row>
    <row r="8" spans="1:6" x14ac:dyDescent="0.2">
      <c r="A8" s="8" t="s">
        <v>308</v>
      </c>
      <c r="B8" s="7"/>
      <c r="C8" s="9" t="s">
        <v>309</v>
      </c>
      <c r="D8" s="9" t="s">
        <v>310</v>
      </c>
      <c r="F8" s="9" t="s">
        <v>781</v>
      </c>
    </row>
    <row r="10" spans="1:6" ht="14.25" x14ac:dyDescent="0.2">
      <c r="A10" s="19">
        <v>520.08000000000004</v>
      </c>
      <c r="B10" s="19"/>
      <c r="C10" s="19" t="s">
        <v>170</v>
      </c>
      <c r="D10" s="20">
        <v>600</v>
      </c>
      <c r="F10" s="20">
        <v>600</v>
      </c>
    </row>
    <row r="11" spans="1:6" ht="14.25" x14ac:dyDescent="0.2">
      <c r="A11" s="19"/>
      <c r="B11" s="19"/>
      <c r="C11" s="19"/>
      <c r="D11" s="20"/>
      <c r="F11" s="20"/>
    </row>
    <row r="12" spans="1:6" ht="14.25" x14ac:dyDescent="0.2">
      <c r="A12" s="19">
        <v>530.01</v>
      </c>
      <c r="B12" s="19"/>
      <c r="C12" s="19" t="s">
        <v>171</v>
      </c>
      <c r="D12" s="20">
        <v>4500</v>
      </c>
      <c r="F12" s="20">
        <v>4500</v>
      </c>
    </row>
    <row r="13" spans="1:6" ht="14.25" x14ac:dyDescent="0.2">
      <c r="A13" s="19"/>
      <c r="B13" s="19"/>
      <c r="C13" s="19"/>
      <c r="D13" s="20"/>
      <c r="F13" s="20"/>
    </row>
    <row r="14" spans="1:6" ht="14.25" x14ac:dyDescent="0.2">
      <c r="A14" s="19">
        <v>540.01</v>
      </c>
      <c r="B14" s="19"/>
      <c r="C14" s="19" t="s">
        <v>388</v>
      </c>
      <c r="D14" s="20">
        <v>1000</v>
      </c>
      <c r="F14" s="20">
        <v>1000</v>
      </c>
    </row>
    <row r="15" spans="1:6" ht="14.25" x14ac:dyDescent="0.2">
      <c r="A15" s="19"/>
      <c r="B15" s="19"/>
      <c r="C15" s="19"/>
      <c r="D15" s="20"/>
      <c r="F15" s="20"/>
    </row>
    <row r="16" spans="1:6" ht="14.25" x14ac:dyDescent="0.2">
      <c r="A16" s="19">
        <v>550.05999999999995</v>
      </c>
      <c r="B16" s="19"/>
      <c r="C16" s="19" t="s">
        <v>389</v>
      </c>
      <c r="D16" s="20">
        <v>1000</v>
      </c>
      <c r="F16" s="20">
        <v>1000</v>
      </c>
    </row>
    <row r="17" spans="1:6" ht="14.25" x14ac:dyDescent="0.2">
      <c r="A17" s="19"/>
      <c r="B17" s="19"/>
      <c r="C17" s="19"/>
      <c r="D17" s="20"/>
      <c r="F17" s="20"/>
    </row>
    <row r="18" spans="1:6" ht="14.25" x14ac:dyDescent="0.2">
      <c r="A18" s="19"/>
      <c r="B18" s="19"/>
      <c r="C18" s="19"/>
      <c r="D18" s="20"/>
      <c r="F18" s="20"/>
    </row>
    <row r="19" spans="1:6" ht="14.25" x14ac:dyDescent="0.2">
      <c r="A19" s="19"/>
      <c r="B19" s="19"/>
      <c r="C19" s="19"/>
      <c r="D19" s="20"/>
      <c r="F19" s="20"/>
    </row>
    <row r="20" spans="1:6" ht="14.25" x14ac:dyDescent="0.2">
      <c r="A20" s="19"/>
      <c r="B20" s="19"/>
      <c r="C20" s="19"/>
      <c r="D20" s="20"/>
      <c r="F20" s="20"/>
    </row>
    <row r="21" spans="1:6" ht="14.25" x14ac:dyDescent="0.2">
      <c r="A21" s="19"/>
      <c r="B21" s="19"/>
      <c r="C21" s="19"/>
      <c r="D21" s="20"/>
      <c r="F21" s="20"/>
    </row>
    <row r="22" spans="1:6" ht="14.25" x14ac:dyDescent="0.2">
      <c r="A22" s="19"/>
      <c r="B22" s="19"/>
      <c r="C22" s="19"/>
      <c r="D22" s="20"/>
      <c r="F22" s="20"/>
    </row>
    <row r="23" spans="1:6" ht="14.25" x14ac:dyDescent="0.2">
      <c r="A23" s="19"/>
      <c r="B23" s="19"/>
      <c r="C23" s="19"/>
      <c r="D23" s="20"/>
      <c r="F23" s="20"/>
    </row>
    <row r="24" spans="1:6" ht="14.25" x14ac:dyDescent="0.2">
      <c r="A24" s="19"/>
      <c r="B24" s="19"/>
      <c r="C24" s="19"/>
      <c r="D24" s="20"/>
      <c r="F24" s="20"/>
    </row>
  </sheetData>
  <printOptions headings="1" gridLines="1"/>
  <pageMargins left="0.7" right="0.7" top="0.75" bottom="0.75" header="0.3" footer="0.3"/>
  <pageSetup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25"/>
  <sheetViews>
    <sheetView topLeftCell="A4" zoomScaleNormal="100" workbookViewId="0">
      <selection activeCell="H27" sqref="H27"/>
    </sheetView>
  </sheetViews>
  <sheetFormatPr defaultRowHeight="12.75" x14ac:dyDescent="0.2"/>
  <cols>
    <col min="5" max="6" width="0" hidden="1" customWidth="1"/>
    <col min="9" max="9" width="10.140625" bestFit="1" customWidth="1"/>
  </cols>
  <sheetData>
    <row r="2" spans="1:9" x14ac:dyDescent="0.2">
      <c r="A2" t="s">
        <v>330</v>
      </c>
    </row>
    <row r="4" spans="1:9" x14ac:dyDescent="0.2">
      <c r="A4" t="s">
        <v>304</v>
      </c>
      <c r="B4" t="s">
        <v>305</v>
      </c>
    </row>
    <row r="5" spans="1:9" x14ac:dyDescent="0.2">
      <c r="A5" t="s">
        <v>306</v>
      </c>
      <c r="B5" t="s">
        <v>347</v>
      </c>
      <c r="I5" s="24" t="s">
        <v>651</v>
      </c>
    </row>
    <row r="6" spans="1:9" x14ac:dyDescent="0.2">
      <c r="E6" s="25" t="s">
        <v>340</v>
      </c>
      <c r="G6" s="25" t="s">
        <v>658</v>
      </c>
      <c r="H6" s="25"/>
      <c r="I6" s="61" t="s">
        <v>781</v>
      </c>
    </row>
    <row r="7" spans="1:9" x14ac:dyDescent="0.2">
      <c r="A7" s="15" t="s">
        <v>331</v>
      </c>
      <c r="E7" s="16" t="s">
        <v>332</v>
      </c>
      <c r="G7" s="16" t="s">
        <v>333</v>
      </c>
      <c r="H7" s="16"/>
      <c r="I7" s="16" t="s">
        <v>333</v>
      </c>
    </row>
    <row r="9" spans="1:9" x14ac:dyDescent="0.2">
      <c r="A9" t="s">
        <v>373</v>
      </c>
      <c r="E9" s="17">
        <v>3061</v>
      </c>
      <c r="F9" s="17"/>
      <c r="G9" s="17">
        <v>42556.800000000003</v>
      </c>
      <c r="H9" s="17"/>
      <c r="I9" s="37">
        <f>G9*103%</f>
        <v>43833.504000000001</v>
      </c>
    </row>
    <row r="10" spans="1:9" x14ac:dyDescent="0.2">
      <c r="E10" s="17"/>
      <c r="F10" s="17"/>
      <c r="G10" s="17"/>
      <c r="H10" s="17"/>
      <c r="I10" s="37"/>
    </row>
    <row r="11" spans="1:9" x14ac:dyDescent="0.2">
      <c r="A11" t="s">
        <v>374</v>
      </c>
      <c r="E11" s="17">
        <v>2548</v>
      </c>
      <c r="F11" s="17"/>
      <c r="G11" s="17">
        <v>29994</v>
      </c>
      <c r="H11" s="17"/>
      <c r="I11" s="37">
        <f>G11*103%</f>
        <v>30893.82</v>
      </c>
    </row>
    <row r="12" spans="1:9" x14ac:dyDescent="0.2">
      <c r="E12" s="17"/>
      <c r="F12" s="17"/>
      <c r="G12" s="17"/>
      <c r="H12" s="17"/>
      <c r="I12" s="37"/>
    </row>
    <row r="13" spans="1:9" x14ac:dyDescent="0.2">
      <c r="A13" t="s">
        <v>374</v>
      </c>
      <c r="E13" s="17">
        <v>2548</v>
      </c>
      <c r="F13" s="17"/>
      <c r="G13" s="17">
        <v>34279</v>
      </c>
      <c r="H13" s="17"/>
      <c r="I13" s="37">
        <f>G13*103%</f>
        <v>35307.370000000003</v>
      </c>
    </row>
    <row r="15" spans="1:9" x14ac:dyDescent="0.2">
      <c r="A15" s="24" t="s">
        <v>908</v>
      </c>
      <c r="E15" s="17"/>
      <c r="F15" s="17"/>
      <c r="G15" s="17">
        <v>12000</v>
      </c>
      <c r="H15" s="17"/>
      <c r="I15" s="37">
        <f>G15*103%</f>
        <v>12360</v>
      </c>
    </row>
    <row r="17" spans="1:9" x14ac:dyDescent="0.2">
      <c r="A17" s="24" t="s">
        <v>906</v>
      </c>
      <c r="E17" s="17"/>
      <c r="F17" s="17"/>
      <c r="G17" s="17"/>
      <c r="H17" s="17"/>
      <c r="I17" s="38">
        <v>6120</v>
      </c>
    </row>
    <row r="18" spans="1:9" x14ac:dyDescent="0.2">
      <c r="E18" s="17"/>
      <c r="F18" s="17"/>
      <c r="G18" s="17"/>
      <c r="H18" s="17"/>
      <c r="I18" s="17"/>
    </row>
    <row r="19" spans="1:9" x14ac:dyDescent="0.2">
      <c r="A19" t="s">
        <v>336</v>
      </c>
      <c r="E19" s="17"/>
      <c r="F19" s="17"/>
      <c r="G19" s="17">
        <f>SUM(G9:G16)</f>
        <v>118829.8</v>
      </c>
      <c r="H19" s="17"/>
      <c r="I19" s="17">
        <f>SUM(I9:I18)</f>
        <v>128514.69399999999</v>
      </c>
    </row>
    <row r="20" spans="1:9" x14ac:dyDescent="0.2">
      <c r="E20" s="17"/>
      <c r="F20" s="17"/>
      <c r="G20" s="17"/>
      <c r="H20" s="17"/>
      <c r="I20" s="37"/>
    </row>
    <row r="21" spans="1:9" x14ac:dyDescent="0.2">
      <c r="E21" s="17"/>
      <c r="F21" s="17"/>
      <c r="G21" s="17"/>
      <c r="H21" s="17"/>
      <c r="I21" s="17"/>
    </row>
    <row r="22" spans="1:9" x14ac:dyDescent="0.2">
      <c r="E22" s="17"/>
      <c r="F22" s="17"/>
      <c r="G22" s="17"/>
      <c r="H22" s="17"/>
      <c r="I22" s="17"/>
    </row>
    <row r="23" spans="1:9" x14ac:dyDescent="0.2">
      <c r="E23" s="17"/>
      <c r="F23" s="17"/>
      <c r="G23" s="17"/>
      <c r="H23" s="17"/>
      <c r="I23" s="17"/>
    </row>
    <row r="24" spans="1:9" x14ac:dyDescent="0.2">
      <c r="E24" s="17"/>
      <c r="F24" s="17"/>
      <c r="G24" s="17"/>
      <c r="H24" s="17"/>
      <c r="I24" s="17"/>
    </row>
    <row r="25" spans="1:9" x14ac:dyDescent="0.2">
      <c r="E25" s="17"/>
      <c r="F25" s="17"/>
      <c r="G25" s="17"/>
      <c r="H25" s="17"/>
      <c r="I25" s="17"/>
    </row>
  </sheetData>
  <pageMargins left="0.7" right="0.7" top="0.75" bottom="0.75" header="0.3" footer="0.3"/>
  <pageSetup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G54"/>
  <sheetViews>
    <sheetView topLeftCell="A17" zoomScaleNormal="100" workbookViewId="0">
      <selection activeCell="G46" sqref="G46"/>
    </sheetView>
  </sheetViews>
  <sheetFormatPr defaultRowHeight="12.75" x14ac:dyDescent="0.2"/>
  <cols>
    <col min="3" max="3" width="50.28515625" customWidth="1"/>
    <col min="4" max="4" width="3.140625" customWidth="1"/>
    <col min="5" max="5" width="11.42578125" customWidth="1"/>
    <col min="7" max="7" width="11.42578125" customWidth="1"/>
  </cols>
  <sheetData>
    <row r="2" spans="1:7" x14ac:dyDescent="0.2">
      <c r="A2" s="7" t="s">
        <v>303</v>
      </c>
      <c r="B2" s="7"/>
      <c r="C2" s="7"/>
      <c r="D2" s="7"/>
      <c r="E2" s="7"/>
      <c r="G2" s="7"/>
    </row>
    <row r="3" spans="1:7" x14ac:dyDescent="0.2">
      <c r="A3" s="7"/>
      <c r="B3" s="7"/>
      <c r="C3" s="7"/>
      <c r="D3" s="7"/>
      <c r="E3" s="7"/>
      <c r="G3" s="7"/>
    </row>
    <row r="4" spans="1:7" x14ac:dyDescent="0.2">
      <c r="A4" s="7" t="s">
        <v>304</v>
      </c>
      <c r="B4" s="7"/>
      <c r="C4" s="7" t="s">
        <v>305</v>
      </c>
      <c r="D4" s="7"/>
      <c r="E4" s="7"/>
      <c r="G4" s="7"/>
    </row>
    <row r="5" spans="1:7" x14ac:dyDescent="0.2">
      <c r="A5" s="7" t="s">
        <v>306</v>
      </c>
      <c r="B5" s="7"/>
      <c r="C5" s="7" t="s">
        <v>347</v>
      </c>
      <c r="D5" s="7"/>
      <c r="E5" s="24" t="s">
        <v>658</v>
      </c>
      <c r="G5" s="24" t="s">
        <v>805</v>
      </c>
    </row>
    <row r="6" spans="1:7" x14ac:dyDescent="0.2">
      <c r="A6" s="8" t="s">
        <v>308</v>
      </c>
      <c r="B6" s="7"/>
      <c r="C6" s="9" t="s">
        <v>309</v>
      </c>
      <c r="D6" s="7"/>
      <c r="E6" s="9" t="s">
        <v>310</v>
      </c>
      <c r="G6" s="9" t="s">
        <v>781</v>
      </c>
    </row>
    <row r="8" spans="1:7" ht="14.25" x14ac:dyDescent="0.2">
      <c r="A8" s="21">
        <v>510.05</v>
      </c>
      <c r="B8" s="19"/>
      <c r="C8" s="19" t="s">
        <v>582</v>
      </c>
      <c r="D8" s="19"/>
      <c r="E8" s="20">
        <f>7928*2</f>
        <v>15856</v>
      </c>
      <c r="G8" s="20"/>
    </row>
    <row r="9" spans="1:7" ht="14.25" x14ac:dyDescent="0.2">
      <c r="A9" s="21"/>
      <c r="B9" s="19"/>
      <c r="C9" s="19" t="s">
        <v>400</v>
      </c>
      <c r="D9" s="19"/>
      <c r="E9" s="20">
        <f>24*2*12</f>
        <v>576</v>
      </c>
      <c r="G9" s="20"/>
    </row>
    <row r="10" spans="1:7" ht="14.25" x14ac:dyDescent="0.2">
      <c r="A10" s="21"/>
      <c r="B10" s="19"/>
      <c r="C10" s="19" t="s">
        <v>423</v>
      </c>
      <c r="D10" s="19"/>
      <c r="E10" s="20">
        <f>+'Personnel Sched-Park'!I19*0.00515</f>
        <v>661.85067409999999</v>
      </c>
      <c r="G10" s="20"/>
    </row>
    <row r="11" spans="1:7" ht="14.25" x14ac:dyDescent="0.2">
      <c r="A11" s="21"/>
      <c r="B11" s="19"/>
      <c r="C11" s="19" t="s">
        <v>401</v>
      </c>
      <c r="D11" s="19"/>
      <c r="E11" s="20">
        <f>2*3*12</f>
        <v>72</v>
      </c>
      <c r="G11" s="20"/>
    </row>
    <row r="12" spans="1:7" ht="14.25" x14ac:dyDescent="0.2">
      <c r="A12" s="21"/>
      <c r="B12" s="19"/>
      <c r="C12" s="19" t="s">
        <v>402</v>
      </c>
      <c r="D12" s="19"/>
      <c r="E12" s="22">
        <f>2*55</f>
        <v>110</v>
      </c>
      <c r="G12" s="22"/>
    </row>
    <row r="13" spans="1:7" ht="14.25" x14ac:dyDescent="0.2">
      <c r="A13" s="21"/>
      <c r="B13" s="19"/>
      <c r="C13" s="19" t="s">
        <v>313</v>
      </c>
      <c r="D13" s="19"/>
      <c r="E13" s="20">
        <f>SUM(E8:E12)</f>
        <v>17275.850674099998</v>
      </c>
      <c r="G13" s="20"/>
    </row>
    <row r="14" spans="1:7" ht="14.25" x14ac:dyDescent="0.2">
      <c r="A14" s="21">
        <v>510.06</v>
      </c>
      <c r="B14" s="19"/>
      <c r="C14" s="19" t="s">
        <v>317</v>
      </c>
      <c r="D14" s="19"/>
      <c r="E14" s="20">
        <f>+'Personnel Sched-Park'!I19*0.0765+'Personnel Sched-Park'!I20*0.0765</f>
        <v>9831.3740909999997</v>
      </c>
      <c r="G14" s="20"/>
    </row>
    <row r="15" spans="1:7" ht="14.25" x14ac:dyDescent="0.2">
      <c r="A15" s="21">
        <v>510.07</v>
      </c>
      <c r="B15" s="19"/>
      <c r="C15" s="19" t="s">
        <v>782</v>
      </c>
      <c r="D15" s="19"/>
      <c r="E15" s="20">
        <f>+'Personnel Sched-Park'!I19*0.0464</f>
        <v>5963.0818015999994</v>
      </c>
      <c r="G15" s="20"/>
    </row>
    <row r="16" spans="1:7" ht="14.25" x14ac:dyDescent="0.2">
      <c r="A16" s="21">
        <v>510.08</v>
      </c>
      <c r="B16" s="19"/>
      <c r="C16" s="19" t="s">
        <v>583</v>
      </c>
      <c r="D16" s="19"/>
      <c r="E16" s="20">
        <f>+('Personnel Sched-Park'!I19*1.03)*0.0253</f>
        <v>3348.9644109459996</v>
      </c>
      <c r="G16" s="20"/>
    </row>
    <row r="17" spans="1:7" ht="14.25" x14ac:dyDescent="0.2">
      <c r="A17" s="21">
        <v>510.09</v>
      </c>
      <c r="B17" s="19"/>
      <c r="C17" s="19" t="s">
        <v>541</v>
      </c>
      <c r="D17" s="19"/>
      <c r="E17" s="20">
        <f>+'Personnel Sched-Park'!I19*0.03</f>
        <v>3855.4408199999993</v>
      </c>
      <c r="G17" s="20"/>
    </row>
    <row r="18" spans="1:7" ht="14.25" x14ac:dyDescent="0.2">
      <c r="A18" s="21">
        <v>510.12</v>
      </c>
      <c r="B18" s="19"/>
      <c r="C18" s="19" t="s">
        <v>542</v>
      </c>
      <c r="D18" s="19"/>
      <c r="E18" s="20">
        <f>4200+(2*150)</f>
        <v>4500</v>
      </c>
      <c r="G18" s="20"/>
    </row>
    <row r="19" spans="1:7" ht="14.25" x14ac:dyDescent="0.2">
      <c r="A19" s="21"/>
      <c r="B19" s="19"/>
      <c r="C19" s="19"/>
      <c r="D19" s="19"/>
      <c r="E19" s="20"/>
      <c r="G19" s="20"/>
    </row>
    <row r="20" spans="1:7" ht="14.25" x14ac:dyDescent="0.2">
      <c r="A20" s="21">
        <v>520.01</v>
      </c>
      <c r="B20" s="19"/>
      <c r="C20" s="19" t="s">
        <v>133</v>
      </c>
      <c r="D20" s="19"/>
      <c r="E20" s="20">
        <v>0</v>
      </c>
      <c r="G20" s="20">
        <v>50</v>
      </c>
    </row>
    <row r="21" spans="1:7" ht="14.25" x14ac:dyDescent="0.2">
      <c r="A21" s="21">
        <v>520.03</v>
      </c>
      <c r="B21" s="19"/>
      <c r="C21" s="19" t="s">
        <v>878</v>
      </c>
      <c r="D21" s="19"/>
      <c r="E21" s="20">
        <v>100</v>
      </c>
      <c r="G21" s="20">
        <v>200</v>
      </c>
    </row>
    <row r="22" spans="1:7" ht="14.25" x14ac:dyDescent="0.2">
      <c r="A22" s="21">
        <v>520.04</v>
      </c>
      <c r="B22" s="19"/>
      <c r="C22" s="19" t="s">
        <v>167</v>
      </c>
      <c r="D22" s="19"/>
      <c r="E22" s="20">
        <v>1700</v>
      </c>
      <c r="G22" s="20"/>
    </row>
    <row r="23" spans="1:7" ht="14.25" x14ac:dyDescent="0.2">
      <c r="A23" s="21"/>
      <c r="B23" s="19"/>
      <c r="C23" s="19" t="s">
        <v>463</v>
      </c>
      <c r="D23" s="19"/>
      <c r="E23" s="22">
        <v>200</v>
      </c>
      <c r="G23" s="22"/>
    </row>
    <row r="24" spans="1:7" ht="14.25" x14ac:dyDescent="0.2">
      <c r="A24" s="21"/>
      <c r="B24" s="19"/>
      <c r="C24" s="19" t="s">
        <v>12</v>
      </c>
      <c r="D24" s="19"/>
      <c r="E24" s="20">
        <f>SUM(E22:E23)</f>
        <v>1900</v>
      </c>
      <c r="G24" s="20">
        <v>3500</v>
      </c>
    </row>
    <row r="25" spans="1:7" ht="14.25" x14ac:dyDescent="0.2">
      <c r="A25" s="21">
        <v>520.05999999999995</v>
      </c>
      <c r="B25" s="19"/>
      <c r="C25" s="19" t="s">
        <v>199</v>
      </c>
      <c r="D25" s="19"/>
      <c r="E25" s="20">
        <v>2250</v>
      </c>
      <c r="G25" s="20">
        <v>3000</v>
      </c>
    </row>
    <row r="26" spans="1:7" ht="14.25" x14ac:dyDescent="0.2">
      <c r="A26" s="21">
        <v>520.07000000000005</v>
      </c>
      <c r="B26" s="19"/>
      <c r="C26" s="19" t="s">
        <v>850</v>
      </c>
      <c r="D26" s="19"/>
      <c r="E26" s="20">
        <v>1000</v>
      </c>
      <c r="G26" s="20">
        <v>1500</v>
      </c>
    </row>
    <row r="27" spans="1:7" ht="14.25" x14ac:dyDescent="0.2">
      <c r="A27" s="21">
        <v>520.08000000000004</v>
      </c>
      <c r="B27" s="19"/>
      <c r="C27" s="19" t="s">
        <v>435</v>
      </c>
      <c r="D27" s="19"/>
      <c r="E27" s="20">
        <v>500</v>
      </c>
      <c r="G27" s="20">
        <v>500</v>
      </c>
    </row>
    <row r="28" spans="1:7" ht="14.25" x14ac:dyDescent="0.2">
      <c r="A28" s="21">
        <v>520.09</v>
      </c>
      <c r="B28" s="19"/>
      <c r="C28" s="19" t="s">
        <v>390</v>
      </c>
      <c r="D28" s="19"/>
      <c r="E28" s="20">
        <v>1300</v>
      </c>
      <c r="G28" s="20">
        <v>2000</v>
      </c>
    </row>
    <row r="29" spans="1:7" ht="14.25" x14ac:dyDescent="0.2">
      <c r="A29" s="21">
        <v>520.1</v>
      </c>
      <c r="B29" s="19"/>
      <c r="C29" s="19" t="s">
        <v>851</v>
      </c>
      <c r="D29" s="19"/>
      <c r="E29" s="20">
        <v>2000</v>
      </c>
      <c r="G29" s="20">
        <v>3000</v>
      </c>
    </row>
    <row r="30" spans="1:7" ht="14.25" x14ac:dyDescent="0.2">
      <c r="A30" s="21">
        <v>520.11</v>
      </c>
      <c r="B30" s="19"/>
      <c r="C30" s="19" t="s">
        <v>391</v>
      </c>
      <c r="D30" s="19"/>
      <c r="E30" s="20">
        <v>1000</v>
      </c>
      <c r="G30" s="20">
        <v>1000</v>
      </c>
    </row>
    <row r="31" spans="1:7" ht="14.25" x14ac:dyDescent="0.2">
      <c r="A31" s="21"/>
      <c r="B31" s="19"/>
      <c r="C31" s="19"/>
      <c r="D31" s="19"/>
      <c r="E31" s="20"/>
      <c r="G31" s="20"/>
    </row>
    <row r="32" spans="1:7" ht="14.25" x14ac:dyDescent="0.2">
      <c r="A32" s="21">
        <v>530.01</v>
      </c>
      <c r="B32" s="19"/>
      <c r="C32" s="19" t="s">
        <v>880</v>
      </c>
      <c r="D32" s="19"/>
      <c r="E32" s="20">
        <v>1300</v>
      </c>
      <c r="G32" s="20">
        <v>1000</v>
      </c>
    </row>
    <row r="33" spans="1:7" ht="14.25" x14ac:dyDescent="0.2">
      <c r="A33" s="21">
        <v>530.02</v>
      </c>
      <c r="B33" s="19"/>
      <c r="C33" s="19" t="s">
        <v>436</v>
      </c>
      <c r="D33" s="19"/>
      <c r="E33" s="20">
        <v>50</v>
      </c>
      <c r="G33" s="20">
        <v>300</v>
      </c>
    </row>
    <row r="34" spans="1:7" ht="14.25" x14ac:dyDescent="0.2">
      <c r="A34" s="21">
        <v>530.09</v>
      </c>
      <c r="B34" s="19"/>
      <c r="C34" s="19" t="s">
        <v>881</v>
      </c>
      <c r="D34" s="19"/>
      <c r="E34" s="20">
        <v>400</v>
      </c>
      <c r="G34" s="20">
        <v>1000</v>
      </c>
    </row>
    <row r="35" spans="1:7" ht="14.25" x14ac:dyDescent="0.2">
      <c r="A35" s="21">
        <v>530.11</v>
      </c>
      <c r="B35" s="19"/>
      <c r="C35" s="19" t="s">
        <v>2</v>
      </c>
      <c r="D35" s="19"/>
      <c r="E35" s="20">
        <v>18000</v>
      </c>
      <c r="G35" s="20">
        <v>18000</v>
      </c>
    </row>
    <row r="36" spans="1:7" ht="14.25" x14ac:dyDescent="0.2">
      <c r="A36" s="21"/>
      <c r="B36" s="19"/>
      <c r="C36" s="19"/>
      <c r="D36" s="19"/>
      <c r="E36" s="20"/>
      <c r="G36" s="20"/>
    </row>
    <row r="37" spans="1:7" ht="14.25" x14ac:dyDescent="0.2">
      <c r="A37" s="21">
        <v>540.01</v>
      </c>
      <c r="B37" s="19"/>
      <c r="C37" s="19" t="s">
        <v>877</v>
      </c>
      <c r="D37" s="19"/>
      <c r="E37" s="20">
        <v>1500</v>
      </c>
      <c r="G37" s="20">
        <v>1000</v>
      </c>
    </row>
    <row r="38" spans="1:7" ht="14.25" x14ac:dyDescent="0.2">
      <c r="A38" s="21"/>
      <c r="B38" s="19"/>
      <c r="C38" s="19"/>
      <c r="D38" s="19"/>
      <c r="E38" s="20"/>
      <c r="G38" s="20"/>
    </row>
    <row r="39" spans="1:7" ht="14.25" x14ac:dyDescent="0.2">
      <c r="A39" s="21">
        <v>550.03</v>
      </c>
      <c r="B39" s="19"/>
      <c r="C39" s="19" t="s">
        <v>879</v>
      </c>
      <c r="D39" s="19"/>
      <c r="E39" s="20">
        <v>2000</v>
      </c>
      <c r="G39" s="20">
        <v>2000</v>
      </c>
    </row>
    <row r="40" spans="1:7" ht="14.25" x14ac:dyDescent="0.2">
      <c r="A40" s="21">
        <v>550.04</v>
      </c>
      <c r="B40" s="19"/>
      <c r="C40" s="19" t="s">
        <v>824</v>
      </c>
      <c r="D40" s="19"/>
      <c r="E40" s="20">
        <v>1000</v>
      </c>
      <c r="G40" s="20">
        <v>1000</v>
      </c>
    </row>
    <row r="41" spans="1:7" ht="14.25" x14ac:dyDescent="0.2">
      <c r="A41" s="21">
        <v>550.09</v>
      </c>
      <c r="B41" s="19"/>
      <c r="C41" s="19" t="s">
        <v>184</v>
      </c>
      <c r="D41" s="19"/>
      <c r="E41" s="20">
        <v>200</v>
      </c>
      <c r="G41" s="20">
        <v>200</v>
      </c>
    </row>
    <row r="42" spans="1:7" ht="14.25" x14ac:dyDescent="0.2">
      <c r="A42" s="21"/>
      <c r="B42" s="19"/>
      <c r="C42" s="19"/>
      <c r="D42" s="19"/>
      <c r="E42" s="20"/>
      <c r="G42" s="20"/>
    </row>
    <row r="43" spans="1:7" ht="14.25" x14ac:dyDescent="0.2">
      <c r="A43" s="21">
        <v>560.09</v>
      </c>
      <c r="B43" s="19"/>
      <c r="C43" s="19" t="s">
        <v>408</v>
      </c>
      <c r="D43" s="19"/>
      <c r="E43" s="20">
        <v>280</v>
      </c>
      <c r="G43" s="20">
        <v>280</v>
      </c>
    </row>
    <row r="44" spans="1:7" ht="14.25" x14ac:dyDescent="0.2">
      <c r="A44" s="21">
        <v>560.1</v>
      </c>
      <c r="B44" s="19"/>
      <c r="C44" s="19" t="s">
        <v>185</v>
      </c>
      <c r="D44" s="19"/>
      <c r="E44" s="20">
        <v>100</v>
      </c>
      <c r="G44" s="20">
        <v>500</v>
      </c>
    </row>
    <row r="45" spans="1:7" ht="14.25" x14ac:dyDescent="0.2">
      <c r="A45" s="21"/>
      <c r="B45" s="19"/>
      <c r="C45" s="19"/>
      <c r="D45" s="19"/>
      <c r="E45" s="20"/>
      <c r="G45" s="20"/>
    </row>
    <row r="46" spans="1:7" ht="14.25" x14ac:dyDescent="0.2">
      <c r="A46" s="21">
        <v>580.01</v>
      </c>
      <c r="B46" s="19"/>
      <c r="C46" s="19" t="s">
        <v>462</v>
      </c>
      <c r="D46" s="19"/>
      <c r="E46" s="20">
        <v>8000</v>
      </c>
      <c r="G46" s="20">
        <v>8000</v>
      </c>
    </row>
    <row r="47" spans="1:7" ht="14.25" x14ac:dyDescent="0.2">
      <c r="A47" s="21"/>
      <c r="B47" s="19"/>
      <c r="C47" s="19"/>
      <c r="D47" s="19"/>
      <c r="E47" s="20"/>
      <c r="G47" s="20"/>
    </row>
    <row r="48" spans="1:7" ht="14.25" x14ac:dyDescent="0.2">
      <c r="A48" s="21"/>
      <c r="B48" s="19"/>
      <c r="C48" s="19"/>
      <c r="D48" s="19"/>
      <c r="E48" s="20"/>
      <c r="G48" s="20"/>
    </row>
    <row r="49" spans="1:7" ht="14.25" x14ac:dyDescent="0.2">
      <c r="A49" s="21"/>
      <c r="B49" s="19"/>
      <c r="C49" s="19"/>
      <c r="D49" s="19"/>
      <c r="E49" s="20"/>
      <c r="G49" s="20"/>
    </row>
    <row r="50" spans="1:7" ht="14.25" x14ac:dyDescent="0.2">
      <c r="A50" s="21"/>
      <c r="B50" s="19"/>
      <c r="C50" s="19" t="s">
        <v>12</v>
      </c>
      <c r="D50" s="19"/>
      <c r="E50" s="20">
        <f>SUM(E8:E47)</f>
        <v>106830.56247174599</v>
      </c>
      <c r="G50" s="20"/>
    </row>
    <row r="51" spans="1:7" ht="14.25" x14ac:dyDescent="0.2">
      <c r="A51" s="21"/>
      <c r="B51" s="19"/>
      <c r="C51" s="19"/>
      <c r="D51" s="19"/>
      <c r="E51" s="20"/>
      <c r="G51" s="20"/>
    </row>
    <row r="52" spans="1:7" ht="14.25" x14ac:dyDescent="0.2">
      <c r="A52" s="21"/>
      <c r="B52" s="19"/>
      <c r="C52" s="19"/>
      <c r="D52" s="19"/>
      <c r="E52" s="20"/>
      <c r="G52" s="20"/>
    </row>
    <row r="53" spans="1:7" ht="14.25" x14ac:dyDescent="0.2">
      <c r="A53" s="21"/>
      <c r="B53" s="19"/>
      <c r="C53" s="19"/>
      <c r="D53" s="19"/>
      <c r="E53" s="20"/>
      <c r="G53" s="20"/>
    </row>
    <row r="54" spans="1:7" ht="14.25" x14ac:dyDescent="0.2">
      <c r="A54" s="21"/>
      <c r="B54" s="19"/>
      <c r="C54" s="19"/>
      <c r="D54" s="19"/>
      <c r="E54" s="20"/>
      <c r="G54" s="20"/>
    </row>
  </sheetData>
  <printOptions headings="1" gridLines="1"/>
  <pageMargins left="0.7" right="0.7" top="0.75" bottom="0.75" header="0.3" footer="0.3"/>
  <pageSetup scale="8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23"/>
  <sheetViews>
    <sheetView zoomScaleNormal="100" workbookViewId="0">
      <selection activeCell="O26" sqref="O26"/>
    </sheetView>
  </sheetViews>
  <sheetFormatPr defaultRowHeight="12.75" x14ac:dyDescent="0.2"/>
  <cols>
    <col min="5" max="6" width="0" hidden="1" customWidth="1"/>
    <col min="9" max="9" width="10.140625" bestFit="1" customWidth="1"/>
  </cols>
  <sheetData>
    <row r="2" spans="1:9" x14ac:dyDescent="0.2">
      <c r="A2" t="s">
        <v>330</v>
      </c>
    </row>
    <row r="4" spans="1:9" x14ac:dyDescent="0.2">
      <c r="A4" t="s">
        <v>304</v>
      </c>
      <c r="B4" t="s">
        <v>305</v>
      </c>
    </row>
    <row r="5" spans="1:9" x14ac:dyDescent="0.2">
      <c r="A5" t="s">
        <v>306</v>
      </c>
      <c r="B5" t="s">
        <v>348</v>
      </c>
      <c r="I5" s="24" t="s">
        <v>651</v>
      </c>
    </row>
    <row r="6" spans="1:9" x14ac:dyDescent="0.2">
      <c r="E6" s="25" t="s">
        <v>340</v>
      </c>
      <c r="G6" s="25" t="s">
        <v>658</v>
      </c>
      <c r="H6" s="25"/>
      <c r="I6" s="54" t="s">
        <v>781</v>
      </c>
    </row>
    <row r="7" spans="1:9" x14ac:dyDescent="0.2">
      <c r="A7" s="15" t="s">
        <v>331</v>
      </c>
      <c r="E7" s="16" t="s">
        <v>332</v>
      </c>
      <c r="G7" s="16" t="s">
        <v>903</v>
      </c>
      <c r="H7" s="16"/>
      <c r="I7" s="16" t="s">
        <v>333</v>
      </c>
    </row>
    <row r="9" spans="1:9" x14ac:dyDescent="0.2">
      <c r="A9" t="s">
        <v>418</v>
      </c>
      <c r="E9" s="17">
        <v>2438</v>
      </c>
      <c r="F9" s="17"/>
      <c r="G9" s="17">
        <v>37919</v>
      </c>
      <c r="H9" s="17"/>
      <c r="I9" s="37">
        <f>G9*103%</f>
        <v>39056.57</v>
      </c>
    </row>
    <row r="10" spans="1:9" x14ac:dyDescent="0.2">
      <c r="E10" s="17"/>
      <c r="F10" s="17"/>
      <c r="G10" s="17"/>
      <c r="H10" s="17"/>
      <c r="I10" s="17"/>
    </row>
    <row r="11" spans="1:9" x14ac:dyDescent="0.2">
      <c r="A11" s="24" t="s">
        <v>906</v>
      </c>
      <c r="E11" s="17"/>
      <c r="F11" s="17"/>
      <c r="G11" s="17">
        <v>1896</v>
      </c>
      <c r="H11" s="17"/>
      <c r="I11" s="37">
        <f>G11*103%</f>
        <v>1952.88</v>
      </c>
    </row>
    <row r="12" spans="1:9" x14ac:dyDescent="0.2">
      <c r="E12" s="17"/>
      <c r="F12" s="17"/>
      <c r="G12" s="17"/>
      <c r="H12" s="17"/>
      <c r="I12" s="17"/>
    </row>
    <row r="13" spans="1:9" x14ac:dyDescent="0.2">
      <c r="A13" t="s">
        <v>336</v>
      </c>
      <c r="E13" s="17"/>
      <c r="F13" s="17"/>
      <c r="G13" s="17"/>
      <c r="H13" s="17"/>
      <c r="I13" s="17">
        <f>SUM(I9:I12)</f>
        <v>41009.449999999997</v>
      </c>
    </row>
    <row r="14" spans="1:9" x14ac:dyDescent="0.2">
      <c r="E14" s="17"/>
      <c r="F14" s="17"/>
      <c r="G14" s="17"/>
      <c r="H14" s="17"/>
      <c r="I14" s="17"/>
    </row>
    <row r="15" spans="1:9" x14ac:dyDescent="0.2">
      <c r="E15" s="17"/>
      <c r="F15" s="17"/>
      <c r="G15" s="17"/>
      <c r="H15" s="17"/>
      <c r="I15" s="17"/>
    </row>
    <row r="16" spans="1:9" x14ac:dyDescent="0.2">
      <c r="E16" s="17"/>
      <c r="F16" s="17"/>
      <c r="G16" s="17"/>
      <c r="H16" s="17"/>
      <c r="I16" s="17"/>
    </row>
    <row r="17" spans="5:9" x14ac:dyDescent="0.2">
      <c r="E17" s="17"/>
      <c r="F17" s="17"/>
      <c r="G17" s="17"/>
      <c r="H17" s="17"/>
      <c r="I17" s="17"/>
    </row>
    <row r="18" spans="5:9" x14ac:dyDescent="0.2">
      <c r="E18" s="17"/>
      <c r="F18" s="17"/>
      <c r="G18" s="17"/>
      <c r="H18" s="17"/>
      <c r="I18" s="17"/>
    </row>
    <row r="19" spans="5:9" x14ac:dyDescent="0.2">
      <c r="E19" s="17"/>
      <c r="F19" s="17"/>
      <c r="G19" s="17"/>
      <c r="H19" s="17"/>
      <c r="I19" s="17"/>
    </row>
    <row r="20" spans="5:9" x14ac:dyDescent="0.2">
      <c r="E20" s="17"/>
      <c r="F20" s="17"/>
      <c r="G20" s="17"/>
      <c r="H20" s="17"/>
      <c r="I20" s="17"/>
    </row>
    <row r="21" spans="5:9" x14ac:dyDescent="0.2">
      <c r="E21" s="17"/>
      <c r="F21" s="17"/>
      <c r="G21" s="17"/>
      <c r="H21" s="17"/>
      <c r="I21" s="17"/>
    </row>
    <row r="22" spans="5:9" x14ac:dyDescent="0.2">
      <c r="E22" s="17"/>
      <c r="F22" s="17"/>
      <c r="G22" s="17"/>
      <c r="H22" s="17"/>
      <c r="I22" s="17"/>
    </row>
    <row r="23" spans="5:9" x14ac:dyDescent="0.2">
      <c r="E23" s="17"/>
      <c r="F23" s="17"/>
      <c r="G23" s="17"/>
      <c r="H23" s="17"/>
      <c r="I23" s="17"/>
    </row>
  </sheetData>
  <pageMargins left="0.7" right="0.7" top="0.75" bottom="0.75" header="0.3" footer="0.3"/>
  <pageSetup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G70"/>
  <sheetViews>
    <sheetView topLeftCell="A31" zoomScaleNormal="100" workbookViewId="0">
      <selection activeCell="G62" sqref="G62"/>
    </sheetView>
  </sheetViews>
  <sheetFormatPr defaultRowHeight="12.75" x14ac:dyDescent="0.2"/>
  <cols>
    <col min="3" max="3" width="49" customWidth="1"/>
    <col min="4" max="4" width="5.140625" customWidth="1"/>
    <col min="5" max="5" width="12.42578125" customWidth="1"/>
    <col min="7" max="7" width="12.42578125" customWidth="1"/>
  </cols>
  <sheetData>
    <row r="2" spans="1:7" x14ac:dyDescent="0.2">
      <c r="A2" s="7" t="s">
        <v>303</v>
      </c>
      <c r="B2" s="7"/>
      <c r="C2" s="7"/>
      <c r="D2" s="7"/>
      <c r="E2" s="7"/>
      <c r="G2" s="7"/>
    </row>
    <row r="3" spans="1:7" x14ac:dyDescent="0.2">
      <c r="A3" s="7"/>
      <c r="B3" s="7"/>
      <c r="C3" s="7"/>
      <c r="D3" s="7"/>
      <c r="E3" s="7"/>
      <c r="G3" s="7"/>
    </row>
    <row r="4" spans="1:7" x14ac:dyDescent="0.2">
      <c r="A4" s="7" t="s">
        <v>304</v>
      </c>
      <c r="B4" s="7"/>
      <c r="C4" s="7" t="s">
        <v>305</v>
      </c>
      <c r="D4" s="7"/>
      <c r="E4" s="24"/>
      <c r="G4" s="24"/>
    </row>
    <row r="5" spans="1:7" x14ac:dyDescent="0.2">
      <c r="A5" s="7" t="s">
        <v>306</v>
      </c>
      <c r="B5" s="7"/>
      <c r="C5" s="7" t="s">
        <v>348</v>
      </c>
      <c r="D5" s="7"/>
    </row>
    <row r="6" spans="1:7" x14ac:dyDescent="0.2">
      <c r="A6" s="7"/>
      <c r="B6" s="7"/>
      <c r="C6" s="7"/>
      <c r="D6" s="7"/>
      <c r="E6" s="24" t="s">
        <v>658</v>
      </c>
      <c r="G6" s="24" t="s">
        <v>805</v>
      </c>
    </row>
    <row r="7" spans="1:7" x14ac:dyDescent="0.2">
      <c r="A7" s="8" t="s">
        <v>308</v>
      </c>
      <c r="B7" s="7"/>
      <c r="C7" s="9" t="s">
        <v>309</v>
      </c>
      <c r="D7" s="7"/>
      <c r="E7" s="9" t="s">
        <v>310</v>
      </c>
      <c r="G7" s="9" t="s">
        <v>781</v>
      </c>
    </row>
    <row r="9" spans="1:7" ht="14.25" x14ac:dyDescent="0.2">
      <c r="A9" s="21">
        <v>510.03</v>
      </c>
      <c r="B9" s="19"/>
      <c r="C9" s="19" t="s">
        <v>392</v>
      </c>
      <c r="D9" s="19"/>
      <c r="E9" s="20">
        <v>12000</v>
      </c>
      <c r="G9" s="20"/>
    </row>
    <row r="10" spans="1:7" ht="14.25" x14ac:dyDescent="0.2">
      <c r="A10" s="21"/>
      <c r="B10" s="19"/>
      <c r="C10" s="19" t="s">
        <v>469</v>
      </c>
      <c r="D10" s="19"/>
      <c r="E10" s="22">
        <f>800*12</f>
        <v>9600</v>
      </c>
      <c r="G10" s="22"/>
    </row>
    <row r="11" spans="1:7" ht="14.25" x14ac:dyDescent="0.2">
      <c r="A11" s="21"/>
      <c r="B11" s="19"/>
      <c r="C11" s="19" t="s">
        <v>12</v>
      </c>
      <c r="D11" s="19"/>
      <c r="E11" s="20">
        <f>SUM(E9:E10)</f>
        <v>21600</v>
      </c>
      <c r="G11" s="20">
        <v>20000</v>
      </c>
    </row>
    <row r="12" spans="1:7" ht="14.25" x14ac:dyDescent="0.2">
      <c r="A12" s="21">
        <v>510.05</v>
      </c>
      <c r="B12" s="19"/>
      <c r="C12" s="19" t="s">
        <v>574</v>
      </c>
      <c r="D12" s="19"/>
      <c r="E12" s="20">
        <v>7928</v>
      </c>
      <c r="G12" s="20">
        <v>8400</v>
      </c>
    </row>
    <row r="13" spans="1:7" ht="14.25" x14ac:dyDescent="0.2">
      <c r="A13" s="21"/>
      <c r="B13" s="19"/>
      <c r="C13" s="19" t="s">
        <v>365</v>
      </c>
      <c r="D13" s="19"/>
      <c r="E13" s="20">
        <f>24*12</f>
        <v>288</v>
      </c>
      <c r="G13" s="20">
        <v>456</v>
      </c>
    </row>
    <row r="14" spans="1:7" ht="14.25" x14ac:dyDescent="0.2">
      <c r="A14" s="21"/>
      <c r="B14" s="19"/>
      <c r="C14" s="19" t="s">
        <v>423</v>
      </c>
      <c r="D14" s="19"/>
      <c r="E14" s="20">
        <f>SUM('Personnel Sched-Muni Court'!I13*0.00515)</f>
        <v>211.1986675</v>
      </c>
      <c r="G14" s="20">
        <v>202</v>
      </c>
    </row>
    <row r="15" spans="1:7" ht="14.25" x14ac:dyDescent="0.2">
      <c r="A15" s="21"/>
      <c r="B15" s="19"/>
      <c r="C15" s="19" t="s">
        <v>366</v>
      </c>
      <c r="D15" s="19"/>
      <c r="E15" s="20">
        <f>3*12</f>
        <v>36</v>
      </c>
      <c r="G15" s="20">
        <v>84</v>
      </c>
    </row>
    <row r="16" spans="1:7" ht="14.25" x14ac:dyDescent="0.2">
      <c r="A16" s="21"/>
      <c r="B16" s="19"/>
      <c r="C16" s="19" t="s">
        <v>393</v>
      </c>
      <c r="D16" s="19"/>
      <c r="E16" s="22">
        <v>55</v>
      </c>
      <c r="G16" s="22">
        <v>55</v>
      </c>
    </row>
    <row r="17" spans="1:7" ht="14.25" x14ac:dyDescent="0.2">
      <c r="A17" s="21"/>
      <c r="B17" s="19"/>
      <c r="C17" s="19" t="s">
        <v>12</v>
      </c>
      <c r="D17" s="19"/>
      <c r="E17" s="20">
        <f>SUM(E12:E16)</f>
        <v>8518.1986675000007</v>
      </c>
      <c r="G17" s="20">
        <v>9197</v>
      </c>
    </row>
    <row r="18" spans="1:7" ht="14.25" x14ac:dyDescent="0.2">
      <c r="A18" s="21">
        <v>510.06</v>
      </c>
      <c r="B18" s="19"/>
      <c r="C18" s="19" t="s">
        <v>317</v>
      </c>
      <c r="D18" s="19"/>
      <c r="E18" s="20">
        <f>+'Personnel Sched-Muni Court'!I13*0.0765</f>
        <v>3137.2229249999996</v>
      </c>
      <c r="G18" s="20"/>
    </row>
    <row r="19" spans="1:7" ht="14.25" x14ac:dyDescent="0.2">
      <c r="A19" s="21">
        <v>510.07</v>
      </c>
      <c r="B19" s="19"/>
      <c r="C19" s="19" t="s">
        <v>792</v>
      </c>
      <c r="D19" s="19"/>
      <c r="E19" s="20">
        <f>+'Personnel Sched-Muni Court'!I13*0.0464</f>
        <v>1902.8384799999997</v>
      </c>
      <c r="G19" s="20"/>
    </row>
    <row r="20" spans="1:7" ht="14.25" x14ac:dyDescent="0.2">
      <c r="A20" s="21">
        <v>510.08</v>
      </c>
      <c r="B20" s="19"/>
      <c r="C20" s="19" t="s">
        <v>454</v>
      </c>
      <c r="D20" s="19"/>
      <c r="E20" s="20">
        <f>+('Personnel Sched-Muni Court'!I13*1.03)*0.0027</f>
        <v>114.04728044999999</v>
      </c>
      <c r="G20" s="20"/>
    </row>
    <row r="21" spans="1:7" ht="14.25" x14ac:dyDescent="0.2">
      <c r="A21" s="21">
        <v>510.09</v>
      </c>
      <c r="B21" s="19"/>
      <c r="C21" s="19" t="s">
        <v>541</v>
      </c>
      <c r="D21" s="19"/>
      <c r="E21" s="20">
        <f>+'Personnel Sched-Muni Court'!I13*0.03</f>
        <v>1230.2834999999998</v>
      </c>
      <c r="G21" s="20"/>
    </row>
    <row r="22" spans="1:7" ht="14.25" x14ac:dyDescent="0.2">
      <c r="A22" s="21">
        <v>510.11</v>
      </c>
      <c r="B22" s="19"/>
      <c r="C22" s="19" t="s">
        <v>780</v>
      </c>
      <c r="D22" s="19"/>
      <c r="E22" s="20">
        <v>0</v>
      </c>
      <c r="G22" s="20">
        <v>400</v>
      </c>
    </row>
    <row r="23" spans="1:7" ht="14.25" x14ac:dyDescent="0.2">
      <c r="A23" s="21">
        <v>510.12</v>
      </c>
      <c r="B23" s="19"/>
      <c r="C23" s="19" t="s">
        <v>542</v>
      </c>
      <c r="D23" s="19"/>
      <c r="E23" s="20">
        <f>(1050+150)+150</f>
        <v>1350</v>
      </c>
      <c r="G23" s="20">
        <v>1500</v>
      </c>
    </row>
    <row r="24" spans="1:7" ht="14.25" x14ac:dyDescent="0.2">
      <c r="A24" s="21"/>
      <c r="B24" s="19"/>
      <c r="C24" s="19"/>
      <c r="D24" s="19"/>
      <c r="E24" s="20"/>
      <c r="G24" s="20"/>
    </row>
    <row r="25" spans="1:7" ht="14.25" x14ac:dyDescent="0.2">
      <c r="A25" s="21">
        <v>520.01</v>
      </c>
      <c r="B25" s="19"/>
      <c r="C25" s="19" t="s">
        <v>133</v>
      </c>
      <c r="D25" s="19"/>
      <c r="E25" s="20"/>
      <c r="G25" s="20">
        <v>1200</v>
      </c>
    </row>
    <row r="26" spans="1:7" ht="14.25" x14ac:dyDescent="0.2">
      <c r="A26" s="21">
        <v>520.02</v>
      </c>
      <c r="B26" s="19"/>
      <c r="C26" s="19" t="s">
        <v>166</v>
      </c>
      <c r="D26" s="19"/>
      <c r="E26" s="20"/>
      <c r="G26" s="20">
        <v>900</v>
      </c>
    </row>
    <row r="27" spans="1:7" ht="14.25" x14ac:dyDescent="0.2">
      <c r="A27" s="21">
        <v>520.03</v>
      </c>
      <c r="B27" s="19"/>
      <c r="C27" s="19" t="s">
        <v>394</v>
      </c>
      <c r="D27" s="19"/>
      <c r="E27" s="20">
        <v>200</v>
      </c>
      <c r="G27" s="20">
        <v>200</v>
      </c>
    </row>
    <row r="28" spans="1:7" ht="14.25" x14ac:dyDescent="0.2">
      <c r="A28" s="21">
        <v>520.08000000000004</v>
      </c>
      <c r="B28" s="19"/>
      <c r="C28" s="19" t="s">
        <v>812</v>
      </c>
      <c r="D28" s="19"/>
      <c r="E28" s="20"/>
      <c r="G28" s="20">
        <v>400</v>
      </c>
    </row>
    <row r="29" spans="1:7" ht="14.25" x14ac:dyDescent="0.2">
      <c r="A29" s="21">
        <v>520.1</v>
      </c>
      <c r="B29" s="19"/>
      <c r="C29" s="19" t="s">
        <v>184</v>
      </c>
      <c r="D29" s="19"/>
      <c r="E29" s="20"/>
      <c r="G29" s="20">
        <v>450</v>
      </c>
    </row>
    <row r="30" spans="1:7" ht="14.25" x14ac:dyDescent="0.2">
      <c r="A30" s="21"/>
      <c r="B30" s="19"/>
      <c r="C30" s="19"/>
      <c r="D30" s="19"/>
      <c r="E30" s="20"/>
      <c r="G30" s="20"/>
    </row>
    <row r="31" spans="1:7" ht="14.25" x14ac:dyDescent="0.2">
      <c r="A31" s="21">
        <v>530.01</v>
      </c>
      <c r="B31" s="19"/>
      <c r="C31" s="19" t="s">
        <v>171</v>
      </c>
      <c r="D31" s="19"/>
      <c r="E31" s="20">
        <v>5400</v>
      </c>
      <c r="G31" s="20"/>
    </row>
    <row r="32" spans="1:7" ht="14.25" x14ac:dyDescent="0.2">
      <c r="A32" s="21"/>
      <c r="B32" s="19"/>
      <c r="C32" s="19" t="s">
        <v>470</v>
      </c>
      <c r="D32" s="19"/>
      <c r="E32" s="22">
        <v>600</v>
      </c>
      <c r="G32" s="22"/>
    </row>
    <row r="33" spans="1:7" ht="14.25" x14ac:dyDescent="0.2">
      <c r="A33" s="21"/>
      <c r="B33" s="19"/>
      <c r="C33" s="19" t="s">
        <v>12</v>
      </c>
      <c r="D33" s="19"/>
      <c r="E33" s="20">
        <f>SUM(E31:E32)</f>
        <v>6000</v>
      </c>
      <c r="G33" s="20">
        <v>7000</v>
      </c>
    </row>
    <row r="34" spans="1:7" ht="14.25" x14ac:dyDescent="0.2">
      <c r="A34" s="21">
        <v>530.02</v>
      </c>
      <c r="B34" s="19"/>
      <c r="C34" s="19" t="s">
        <v>427</v>
      </c>
      <c r="D34" s="19"/>
      <c r="E34" s="20">
        <v>1200</v>
      </c>
      <c r="G34" s="20">
        <v>2280</v>
      </c>
    </row>
    <row r="35" spans="1:7" ht="14.25" x14ac:dyDescent="0.2">
      <c r="A35" s="21">
        <v>530.03</v>
      </c>
      <c r="B35" s="19"/>
      <c r="C35" s="19" t="s">
        <v>584</v>
      </c>
      <c r="D35" s="19"/>
      <c r="E35" s="20">
        <v>100</v>
      </c>
      <c r="G35" s="20">
        <v>100</v>
      </c>
    </row>
    <row r="36" spans="1:7" ht="14.25" x14ac:dyDescent="0.2">
      <c r="A36" s="21">
        <v>530.05999999999995</v>
      </c>
      <c r="B36" s="19"/>
      <c r="C36" s="19" t="s">
        <v>811</v>
      </c>
      <c r="D36" s="19"/>
      <c r="E36" s="20">
        <v>800</v>
      </c>
      <c r="G36" s="20">
        <v>2000</v>
      </c>
    </row>
    <row r="37" spans="1:7" ht="14.25" x14ac:dyDescent="0.2">
      <c r="A37" s="21">
        <v>530.07000000000005</v>
      </c>
      <c r="B37" s="19"/>
      <c r="C37" s="19" t="s">
        <v>395</v>
      </c>
      <c r="D37" s="19"/>
      <c r="E37" s="20">
        <v>2700</v>
      </c>
      <c r="G37" s="20">
        <v>2700</v>
      </c>
    </row>
    <row r="38" spans="1:7" ht="14.25" x14ac:dyDescent="0.2">
      <c r="A38" s="21">
        <v>530.1</v>
      </c>
      <c r="B38" s="19"/>
      <c r="C38" s="19" t="s">
        <v>193</v>
      </c>
      <c r="D38" s="19"/>
      <c r="E38" s="20">
        <v>650</v>
      </c>
      <c r="G38" s="20">
        <v>700</v>
      </c>
    </row>
    <row r="39" spans="1:7" ht="14.25" x14ac:dyDescent="0.2">
      <c r="A39" s="21">
        <v>530.11</v>
      </c>
      <c r="B39" s="19"/>
      <c r="C39" s="19" t="s">
        <v>2</v>
      </c>
      <c r="D39" s="19"/>
      <c r="E39" s="20">
        <v>3500</v>
      </c>
      <c r="G39" s="20">
        <v>3500</v>
      </c>
    </row>
    <row r="40" spans="1:7" ht="14.25" x14ac:dyDescent="0.2">
      <c r="A40" s="21">
        <v>530.13</v>
      </c>
      <c r="B40" s="19"/>
      <c r="C40" s="19" t="s">
        <v>464</v>
      </c>
      <c r="D40" s="19"/>
      <c r="E40" s="20">
        <f>2108*12</f>
        <v>25296</v>
      </c>
      <c r="G40" s="20"/>
    </row>
    <row r="41" spans="1:7" ht="14.25" x14ac:dyDescent="0.2">
      <c r="A41" s="21"/>
      <c r="B41" s="19"/>
      <c r="C41" s="19" t="s">
        <v>536</v>
      </c>
      <c r="D41" s="19"/>
      <c r="E41" s="22">
        <f>500*12</f>
        <v>6000</v>
      </c>
      <c r="G41" s="22"/>
    </row>
    <row r="42" spans="1:7" ht="14.25" x14ac:dyDescent="0.2">
      <c r="A42" s="21"/>
      <c r="B42" s="19"/>
      <c r="C42" s="19" t="s">
        <v>12</v>
      </c>
      <c r="D42" s="19"/>
      <c r="E42" s="20">
        <f>SUM(E40:E41)</f>
        <v>31296</v>
      </c>
      <c r="G42" s="20">
        <v>31296</v>
      </c>
    </row>
    <row r="43" spans="1:7" ht="14.25" x14ac:dyDescent="0.2">
      <c r="A43" s="21">
        <v>530.17999999999995</v>
      </c>
      <c r="B43" s="19"/>
      <c r="C43" s="19" t="s">
        <v>396</v>
      </c>
      <c r="D43" s="19"/>
      <c r="E43" s="20">
        <f>11500*4</f>
        <v>46000</v>
      </c>
      <c r="G43" s="20">
        <v>50000</v>
      </c>
    </row>
    <row r="44" spans="1:7" ht="14.25" x14ac:dyDescent="0.2">
      <c r="A44" s="21"/>
      <c r="B44" s="19"/>
      <c r="C44" s="19" t="s">
        <v>751</v>
      </c>
      <c r="D44" s="19"/>
      <c r="E44" s="20"/>
      <c r="G44" s="20"/>
    </row>
    <row r="45" spans="1:7" ht="14.25" x14ac:dyDescent="0.2">
      <c r="A45" s="21"/>
      <c r="B45" s="19"/>
      <c r="C45" s="19"/>
      <c r="D45" s="19"/>
      <c r="E45" s="20"/>
      <c r="G45" s="20"/>
    </row>
    <row r="46" spans="1:7" ht="14.25" x14ac:dyDescent="0.2">
      <c r="A46" s="21">
        <v>540.01</v>
      </c>
      <c r="B46" s="19"/>
      <c r="C46" s="19" t="s">
        <v>397</v>
      </c>
      <c r="D46" s="19"/>
      <c r="E46" s="20">
        <v>500</v>
      </c>
      <c r="G46" s="20"/>
    </row>
    <row r="47" spans="1:7" ht="14.25" x14ac:dyDescent="0.2">
      <c r="A47" s="21"/>
      <c r="B47" s="19"/>
      <c r="C47" s="19" t="s">
        <v>321</v>
      </c>
      <c r="D47" s="19"/>
      <c r="E47" s="20">
        <v>500</v>
      </c>
      <c r="G47" s="20"/>
    </row>
    <row r="48" spans="1:7" ht="14.25" x14ac:dyDescent="0.2">
      <c r="A48" s="21"/>
      <c r="B48" s="19"/>
      <c r="C48" s="19" t="s">
        <v>585</v>
      </c>
      <c r="D48" s="19"/>
      <c r="E48" s="22">
        <v>500</v>
      </c>
      <c r="G48" s="22">
        <v>0</v>
      </c>
    </row>
    <row r="49" spans="1:7" ht="14.25" x14ac:dyDescent="0.2">
      <c r="A49" s="21"/>
      <c r="B49" s="19"/>
      <c r="C49" s="19" t="s">
        <v>12</v>
      </c>
      <c r="D49" s="19"/>
      <c r="E49" s="20">
        <f>SUM(E46:E48)</f>
        <v>1500</v>
      </c>
      <c r="G49" s="20">
        <v>1500</v>
      </c>
    </row>
    <row r="50" spans="1:7" ht="14.25" x14ac:dyDescent="0.2">
      <c r="A50" s="21"/>
      <c r="B50" s="19"/>
      <c r="C50" s="19"/>
      <c r="D50" s="19"/>
      <c r="E50" s="20"/>
      <c r="G50" s="20"/>
    </row>
    <row r="51" spans="1:7" ht="14.25" x14ac:dyDescent="0.2">
      <c r="A51" s="21">
        <v>550.01</v>
      </c>
      <c r="B51" s="19"/>
      <c r="C51" s="19" t="s">
        <v>173</v>
      </c>
      <c r="D51" s="19"/>
      <c r="E51" s="20">
        <v>250</v>
      </c>
      <c r="G51" s="20">
        <v>250</v>
      </c>
    </row>
    <row r="52" spans="1:7" ht="14.25" x14ac:dyDescent="0.2">
      <c r="A52" s="21">
        <v>550.05999999999995</v>
      </c>
      <c r="B52" s="19"/>
      <c r="C52" s="19" t="s">
        <v>839</v>
      </c>
      <c r="D52" s="19"/>
      <c r="E52" s="20">
        <v>250</v>
      </c>
      <c r="G52" s="20">
        <v>450</v>
      </c>
    </row>
    <row r="53" spans="1:7" ht="14.25" x14ac:dyDescent="0.2">
      <c r="A53" s="21"/>
      <c r="B53" s="19"/>
      <c r="C53" s="19"/>
      <c r="D53" s="19"/>
      <c r="E53" s="20"/>
      <c r="G53" s="20"/>
    </row>
    <row r="54" spans="1:7" ht="14.25" x14ac:dyDescent="0.2">
      <c r="A54" s="21">
        <v>560.02</v>
      </c>
      <c r="B54" s="19"/>
      <c r="C54" s="19" t="s">
        <v>473</v>
      </c>
      <c r="D54" s="19"/>
      <c r="E54" s="20">
        <v>1200</v>
      </c>
      <c r="G54" s="20">
        <v>1200</v>
      </c>
    </row>
    <row r="55" spans="1:7" ht="14.25" x14ac:dyDescent="0.2">
      <c r="A55" s="21"/>
      <c r="B55" s="19"/>
      <c r="C55" s="19" t="s">
        <v>587</v>
      </c>
      <c r="D55" s="19"/>
      <c r="E55" s="22">
        <v>120</v>
      </c>
      <c r="G55" s="22">
        <v>225</v>
      </c>
    </row>
    <row r="56" spans="1:7" ht="14.25" x14ac:dyDescent="0.2">
      <c r="A56" s="21"/>
      <c r="B56" s="19"/>
      <c r="C56" s="19" t="s">
        <v>12</v>
      </c>
      <c r="D56" s="19"/>
      <c r="E56" s="20">
        <f>SUM(E54:E55)</f>
        <v>1320</v>
      </c>
      <c r="G56" s="20">
        <f>SUM(G54:G55)</f>
        <v>1425</v>
      </c>
    </row>
    <row r="57" spans="1:7" ht="14.25" x14ac:dyDescent="0.2">
      <c r="A57" s="21">
        <v>560.08000000000004</v>
      </c>
      <c r="B57" s="19"/>
      <c r="C57" s="19" t="s">
        <v>235</v>
      </c>
      <c r="D57" s="19"/>
      <c r="E57" s="20">
        <v>400</v>
      </c>
      <c r="G57" s="20">
        <v>400</v>
      </c>
    </row>
    <row r="58" spans="1:7" ht="14.25" x14ac:dyDescent="0.2">
      <c r="A58" s="21">
        <v>560.1</v>
      </c>
      <c r="B58" s="19"/>
      <c r="C58" s="19" t="s">
        <v>586</v>
      </c>
      <c r="D58" s="19"/>
      <c r="E58" s="20">
        <v>750</v>
      </c>
      <c r="G58" s="20"/>
    </row>
    <row r="59" spans="1:7" ht="14.25" x14ac:dyDescent="0.2">
      <c r="A59" s="21"/>
      <c r="B59" s="19"/>
      <c r="C59" s="19" t="s">
        <v>537</v>
      </c>
      <c r="D59" s="19"/>
      <c r="E59" s="22">
        <v>750</v>
      </c>
      <c r="G59" s="22"/>
    </row>
    <row r="60" spans="1:7" ht="14.25" x14ac:dyDescent="0.2">
      <c r="A60" s="21"/>
      <c r="B60" s="19"/>
      <c r="C60" s="19" t="s">
        <v>12</v>
      </c>
      <c r="D60" s="19"/>
      <c r="E60" s="20">
        <f>SUM(E58:E59)</f>
        <v>1500</v>
      </c>
      <c r="G60" s="20">
        <v>2250</v>
      </c>
    </row>
    <row r="61" spans="1:7" ht="14.25" x14ac:dyDescent="0.2">
      <c r="A61" s="21"/>
      <c r="B61" s="19"/>
      <c r="C61" s="19"/>
      <c r="D61" s="19"/>
      <c r="E61" s="20"/>
      <c r="G61" s="20"/>
    </row>
    <row r="62" spans="1:7" ht="14.25" x14ac:dyDescent="0.2">
      <c r="A62" s="26">
        <v>580.01</v>
      </c>
      <c r="C62" s="26" t="s">
        <v>471</v>
      </c>
      <c r="E62" s="27">
        <v>3500</v>
      </c>
      <c r="G62" s="27">
        <v>3500</v>
      </c>
    </row>
    <row r="64" spans="1:7" ht="14.25" x14ac:dyDescent="0.2">
      <c r="A64" s="26"/>
      <c r="B64" s="26"/>
      <c r="C64" s="26"/>
      <c r="D64" s="26"/>
      <c r="E64" s="26"/>
      <c r="G64" s="26"/>
    </row>
    <row r="65" spans="1:7" ht="14.25" x14ac:dyDescent="0.2">
      <c r="A65" s="26"/>
      <c r="B65" s="26"/>
      <c r="C65" s="26"/>
      <c r="D65" s="26"/>
      <c r="E65" s="26"/>
      <c r="G65" s="26"/>
    </row>
    <row r="66" spans="1:7" ht="14.25" x14ac:dyDescent="0.2">
      <c r="A66" s="26"/>
      <c r="B66" s="26"/>
      <c r="C66" s="26"/>
      <c r="D66" s="26"/>
      <c r="E66" s="26"/>
      <c r="G66" s="26"/>
    </row>
    <row r="67" spans="1:7" ht="14.25" x14ac:dyDescent="0.2">
      <c r="A67" s="26"/>
      <c r="B67" s="26"/>
      <c r="C67" s="26"/>
      <c r="D67" s="26"/>
      <c r="E67" s="26"/>
      <c r="G67" s="26"/>
    </row>
    <row r="68" spans="1:7" ht="14.25" x14ac:dyDescent="0.2">
      <c r="A68" s="26"/>
      <c r="B68" s="26"/>
      <c r="C68" s="26"/>
      <c r="D68" s="26"/>
      <c r="E68" s="26"/>
      <c r="G68" s="26"/>
    </row>
    <row r="69" spans="1:7" ht="14.25" x14ac:dyDescent="0.2">
      <c r="A69" s="26"/>
      <c r="B69" s="26"/>
      <c r="C69" s="26"/>
      <c r="D69" s="26"/>
      <c r="E69" s="26"/>
      <c r="G69" s="26"/>
    </row>
    <row r="70" spans="1:7" ht="14.25" x14ac:dyDescent="0.2">
      <c r="A70" s="26"/>
      <c r="B70" s="26"/>
      <c r="C70" s="26"/>
      <c r="D70" s="26"/>
      <c r="E70" s="26"/>
      <c r="G70" s="26"/>
    </row>
  </sheetData>
  <printOptions headings="1" gridLines="1"/>
  <pageMargins left="0.7" right="0.7" top="0.75" bottom="0.75" header="0.3" footer="0.3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I24"/>
  <sheetViews>
    <sheetView zoomScaleNormal="100" workbookViewId="0">
      <selection activeCell="I15" sqref="I15"/>
    </sheetView>
  </sheetViews>
  <sheetFormatPr defaultRowHeight="12.75" x14ac:dyDescent="0.2"/>
  <cols>
    <col min="5" max="6" width="0" hidden="1" customWidth="1"/>
    <col min="7" max="7" width="11.140625" bestFit="1" customWidth="1"/>
    <col min="9" max="9" width="10.140625" bestFit="1" customWidth="1"/>
  </cols>
  <sheetData>
    <row r="2" spans="1:9" x14ac:dyDescent="0.2">
      <c r="A2" t="s">
        <v>330</v>
      </c>
    </row>
    <row r="4" spans="1:9" x14ac:dyDescent="0.2">
      <c r="A4" t="s">
        <v>304</v>
      </c>
      <c r="B4" t="s">
        <v>349</v>
      </c>
    </row>
    <row r="5" spans="1:9" x14ac:dyDescent="0.2">
      <c r="A5" t="s">
        <v>306</v>
      </c>
      <c r="B5" t="s">
        <v>350</v>
      </c>
    </row>
    <row r="6" spans="1:9" x14ac:dyDescent="0.2">
      <c r="E6" s="25" t="s">
        <v>340</v>
      </c>
      <c r="G6" s="25" t="s">
        <v>658</v>
      </c>
      <c r="H6" s="25"/>
      <c r="I6" t="s">
        <v>781</v>
      </c>
    </row>
    <row r="7" spans="1:9" x14ac:dyDescent="0.2">
      <c r="A7" s="15" t="s">
        <v>331</v>
      </c>
      <c r="E7" s="16" t="s">
        <v>332</v>
      </c>
      <c r="G7" s="16" t="s">
        <v>333</v>
      </c>
      <c r="H7" s="16"/>
      <c r="I7" s="16" t="s">
        <v>333</v>
      </c>
    </row>
    <row r="9" spans="1:9" x14ac:dyDescent="0.2">
      <c r="A9" s="24" t="s">
        <v>909</v>
      </c>
      <c r="E9" s="17">
        <v>2800</v>
      </c>
      <c r="F9" s="17"/>
      <c r="G9" s="17">
        <v>42412</v>
      </c>
      <c r="H9" s="17"/>
      <c r="I9" s="17">
        <f>G9*103%</f>
        <v>43684.36</v>
      </c>
    </row>
    <row r="10" spans="1:9" x14ac:dyDescent="0.2">
      <c r="E10" s="17"/>
      <c r="F10" s="17"/>
      <c r="G10" s="17"/>
      <c r="H10" s="17"/>
      <c r="I10" s="17"/>
    </row>
    <row r="11" spans="1:9" x14ac:dyDescent="0.2">
      <c r="A11" s="24" t="s">
        <v>909</v>
      </c>
      <c r="E11" s="17">
        <v>2800</v>
      </c>
      <c r="F11" s="17"/>
      <c r="G11" s="17">
        <v>37503</v>
      </c>
      <c r="H11" s="17"/>
      <c r="I11" s="17">
        <f>G11*103%</f>
        <v>38628.090000000004</v>
      </c>
    </row>
    <row r="12" spans="1:9" x14ac:dyDescent="0.2">
      <c r="E12" s="17"/>
      <c r="F12" s="17"/>
      <c r="G12" s="17"/>
      <c r="H12" s="17"/>
      <c r="I12" s="17"/>
    </row>
    <row r="13" spans="1:9" x14ac:dyDescent="0.2">
      <c r="A13" s="24" t="s">
        <v>909</v>
      </c>
      <c r="G13" s="23">
        <v>29120</v>
      </c>
      <c r="I13" s="17">
        <f>G13*103%</f>
        <v>29993.600000000002</v>
      </c>
    </row>
    <row r="14" spans="1:9" x14ac:dyDescent="0.2">
      <c r="A14" s="24"/>
    </row>
    <row r="15" spans="1:9" x14ac:dyDescent="0.2">
      <c r="A15" s="18" t="s">
        <v>359</v>
      </c>
      <c r="E15" s="17"/>
      <c r="F15" s="17"/>
      <c r="G15" s="17">
        <v>5452</v>
      </c>
      <c r="H15" s="17"/>
      <c r="I15" s="17">
        <f>G15*103%</f>
        <v>5615.56</v>
      </c>
    </row>
    <row r="16" spans="1:9" x14ac:dyDescent="0.2">
      <c r="E16" s="17"/>
      <c r="F16" s="17"/>
      <c r="G16" s="17"/>
      <c r="H16" s="17"/>
      <c r="I16" s="17"/>
    </row>
    <row r="17" spans="1:9" x14ac:dyDescent="0.2">
      <c r="A17" s="18" t="s">
        <v>336</v>
      </c>
      <c r="E17" s="17"/>
      <c r="F17" s="17"/>
      <c r="G17" s="17">
        <f>SUM(G9:G16)</f>
        <v>114487</v>
      </c>
      <c r="H17" s="17"/>
      <c r="I17" s="17">
        <f>SUM(I9:I16)</f>
        <v>117921.61000000002</v>
      </c>
    </row>
    <row r="18" spans="1:9" x14ac:dyDescent="0.2">
      <c r="E18" s="17"/>
      <c r="F18" s="17"/>
      <c r="G18" s="17"/>
      <c r="H18" s="17"/>
      <c r="I18" s="17"/>
    </row>
    <row r="19" spans="1:9" x14ac:dyDescent="0.2">
      <c r="E19" s="17"/>
      <c r="F19" s="17"/>
      <c r="G19" s="17"/>
      <c r="H19" s="17"/>
      <c r="I19" s="17"/>
    </row>
    <row r="20" spans="1:9" x14ac:dyDescent="0.2">
      <c r="E20" s="17"/>
      <c r="F20" s="17"/>
      <c r="G20" s="17"/>
      <c r="H20" s="17"/>
      <c r="I20" s="17"/>
    </row>
    <row r="21" spans="1:9" x14ac:dyDescent="0.2">
      <c r="E21" s="17"/>
      <c r="F21" s="17"/>
      <c r="G21" s="17"/>
      <c r="H21" s="17"/>
      <c r="I21" s="17"/>
    </row>
    <row r="22" spans="1:9" x14ac:dyDescent="0.2">
      <c r="E22" s="17"/>
      <c r="F22" s="17"/>
      <c r="G22" s="17"/>
      <c r="H22" s="17"/>
      <c r="I22" s="17"/>
    </row>
    <row r="23" spans="1:9" x14ac:dyDescent="0.2">
      <c r="E23" s="17"/>
      <c r="F23" s="17"/>
      <c r="G23" s="17"/>
      <c r="H23" s="17"/>
      <c r="I23" s="17"/>
    </row>
    <row r="24" spans="1:9" x14ac:dyDescent="0.2">
      <c r="E24" s="17"/>
      <c r="F24" s="17"/>
      <c r="G24" s="17"/>
      <c r="H24" s="17"/>
      <c r="I24" s="17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86"/>
  <sheetViews>
    <sheetView topLeftCell="A25" zoomScaleNormal="100" workbookViewId="0">
      <selection activeCell="E21" sqref="E21"/>
    </sheetView>
  </sheetViews>
  <sheetFormatPr defaultRowHeight="12.75" x14ac:dyDescent="0.2"/>
  <cols>
    <col min="2" max="2" width="5" customWidth="1"/>
    <col min="3" max="3" width="51.5703125" customWidth="1"/>
    <col min="4" max="4" width="3.5703125" customWidth="1"/>
    <col min="5" max="5" width="18.7109375" customWidth="1"/>
    <col min="9" max="9" width="11.42578125" bestFit="1" customWidth="1"/>
    <col min="10" max="10" width="13" bestFit="1" customWidth="1"/>
    <col min="11" max="11" width="4.42578125" bestFit="1" customWidth="1"/>
    <col min="12" max="12" width="3.85546875" bestFit="1" customWidth="1"/>
    <col min="13" max="13" width="13" bestFit="1" customWidth="1"/>
  </cols>
  <sheetData>
    <row r="2" spans="1:7" x14ac:dyDescent="0.2">
      <c r="A2" s="7" t="s">
        <v>303</v>
      </c>
      <c r="B2" s="7"/>
      <c r="C2" s="7"/>
      <c r="D2" s="7"/>
      <c r="E2" s="7"/>
    </row>
    <row r="3" spans="1:7" x14ac:dyDescent="0.2">
      <c r="A3" s="7"/>
      <c r="B3" s="7"/>
      <c r="C3" s="7"/>
      <c r="D3" s="7"/>
      <c r="E3" s="7"/>
    </row>
    <row r="4" spans="1:7" x14ac:dyDescent="0.2">
      <c r="A4" s="7" t="s">
        <v>304</v>
      </c>
      <c r="B4" s="7"/>
      <c r="C4" s="7" t="s">
        <v>351</v>
      </c>
      <c r="E4" s="7"/>
    </row>
    <row r="5" spans="1:7" x14ac:dyDescent="0.2">
      <c r="A5" s="7" t="s">
        <v>306</v>
      </c>
      <c r="B5" s="7"/>
      <c r="C5" s="7" t="s">
        <v>350</v>
      </c>
      <c r="D5" s="7"/>
    </row>
    <row r="6" spans="1:7" x14ac:dyDescent="0.2">
      <c r="A6" s="7"/>
      <c r="B6" s="7"/>
      <c r="C6" s="7"/>
      <c r="D6" s="7"/>
      <c r="E6" s="61" t="s">
        <v>658</v>
      </c>
      <c r="G6" s="24" t="s">
        <v>805</v>
      </c>
    </row>
    <row r="7" spans="1:7" x14ac:dyDescent="0.2">
      <c r="A7" s="8" t="s">
        <v>308</v>
      </c>
      <c r="B7" s="7"/>
      <c r="C7" s="9" t="s">
        <v>309</v>
      </c>
      <c r="D7" s="7"/>
      <c r="E7" s="9" t="s">
        <v>310</v>
      </c>
      <c r="G7" s="15" t="s">
        <v>781</v>
      </c>
    </row>
    <row r="9" spans="1:7" ht="14.25" x14ac:dyDescent="0.2">
      <c r="A9" s="19" t="s">
        <v>398</v>
      </c>
      <c r="B9" s="19"/>
      <c r="C9" s="19" t="s">
        <v>314</v>
      </c>
      <c r="D9" s="19"/>
      <c r="E9" s="20">
        <v>5000</v>
      </c>
    </row>
    <row r="10" spans="1:7" ht="14.25" x14ac:dyDescent="0.2">
      <c r="A10" s="19"/>
      <c r="B10" s="19"/>
      <c r="C10" s="19" t="s">
        <v>399</v>
      </c>
      <c r="D10" s="19"/>
      <c r="E10" s="20">
        <v>7000</v>
      </c>
    </row>
    <row r="11" spans="1:7" ht="14.25" x14ac:dyDescent="0.2">
      <c r="A11" s="19"/>
      <c r="B11" s="19"/>
      <c r="C11" s="19" t="s">
        <v>497</v>
      </c>
      <c r="D11" s="19"/>
      <c r="E11" s="22">
        <v>7500</v>
      </c>
    </row>
    <row r="12" spans="1:7" ht="14.25" x14ac:dyDescent="0.2">
      <c r="A12" s="19"/>
      <c r="B12" s="19"/>
      <c r="C12" s="19" t="s">
        <v>12</v>
      </c>
      <c r="D12" s="19"/>
      <c r="E12" s="20">
        <f>SUM(E9:E11)</f>
        <v>19500</v>
      </c>
    </row>
    <row r="13" spans="1:7" ht="14.25" x14ac:dyDescent="0.2">
      <c r="A13" s="19"/>
      <c r="B13" s="19"/>
      <c r="C13" s="19"/>
      <c r="D13" s="19"/>
      <c r="E13" s="20"/>
    </row>
    <row r="14" spans="1:7" ht="14.25" x14ac:dyDescent="0.2">
      <c r="A14" s="21">
        <v>510.05</v>
      </c>
      <c r="B14" s="19"/>
      <c r="C14" s="19" t="s">
        <v>588</v>
      </c>
      <c r="D14" s="19"/>
      <c r="E14" s="20">
        <f>2*7928</f>
        <v>15856</v>
      </c>
    </row>
    <row r="15" spans="1:7" ht="14.25" x14ac:dyDescent="0.2">
      <c r="A15" s="21"/>
      <c r="B15" s="19"/>
      <c r="C15" s="19" t="s">
        <v>400</v>
      </c>
      <c r="D15" s="19"/>
      <c r="E15" s="20">
        <f>2*12*24</f>
        <v>576</v>
      </c>
    </row>
    <row r="16" spans="1:7" ht="14.25" x14ac:dyDescent="0.2">
      <c r="A16" s="21"/>
      <c r="B16" s="19"/>
      <c r="C16" s="19" t="s">
        <v>423</v>
      </c>
      <c r="D16" s="19"/>
      <c r="E16" s="20">
        <f>+'Personnel Sched-Util Admin'!I17*0.00515</f>
        <v>607.29629150000005</v>
      </c>
    </row>
    <row r="17" spans="1:5" ht="14.25" x14ac:dyDescent="0.2">
      <c r="A17" s="21"/>
      <c r="B17" s="19"/>
      <c r="C17" s="19" t="s">
        <v>401</v>
      </c>
      <c r="D17" s="19"/>
      <c r="E17" s="20">
        <f>2*12*3</f>
        <v>72</v>
      </c>
    </row>
    <row r="18" spans="1:5" ht="14.25" x14ac:dyDescent="0.2">
      <c r="A18" s="21"/>
      <c r="B18" s="19"/>
      <c r="C18" s="19" t="s">
        <v>402</v>
      </c>
      <c r="D18" s="19"/>
      <c r="E18" s="22">
        <f>2*55</f>
        <v>110</v>
      </c>
    </row>
    <row r="19" spans="1:5" ht="14.25" x14ac:dyDescent="0.2">
      <c r="A19" s="21"/>
      <c r="B19" s="19"/>
      <c r="C19" s="19" t="s">
        <v>313</v>
      </c>
      <c r="D19" s="19"/>
      <c r="E19" s="20">
        <f>SUM(E14:E18)</f>
        <v>17221.296291499999</v>
      </c>
    </row>
    <row r="20" spans="1:5" ht="14.25" x14ac:dyDescent="0.2">
      <c r="A20" s="21"/>
      <c r="B20" s="19"/>
      <c r="C20" s="19"/>
      <c r="D20" s="19"/>
      <c r="E20" s="20"/>
    </row>
    <row r="21" spans="1:5" ht="14.25" x14ac:dyDescent="0.2">
      <c r="A21" s="21">
        <v>510.06</v>
      </c>
      <c r="B21" s="19"/>
      <c r="C21" s="19" t="s">
        <v>317</v>
      </c>
      <c r="D21" s="19"/>
      <c r="E21" s="20">
        <f>+'Personnel Sched-Util Admin'!I17*0.0765</f>
        <v>9021.0031650000001</v>
      </c>
    </row>
    <row r="22" spans="1:5" ht="14.25" x14ac:dyDescent="0.2">
      <c r="A22" s="21"/>
      <c r="B22" s="19"/>
      <c r="C22" s="19"/>
      <c r="D22" s="19"/>
      <c r="E22" s="20"/>
    </row>
    <row r="23" spans="1:5" ht="14.25" x14ac:dyDescent="0.2">
      <c r="A23" s="21">
        <v>510.07</v>
      </c>
      <c r="B23" s="19"/>
      <c r="C23" s="19" t="s">
        <v>782</v>
      </c>
      <c r="D23" s="19"/>
      <c r="E23" s="20">
        <f>+'Personnel Sched-Util Admin'!I17*0.0464</f>
        <v>5471.5627039999999</v>
      </c>
    </row>
    <row r="24" spans="1:5" ht="14.25" x14ac:dyDescent="0.2">
      <c r="A24" s="21"/>
      <c r="B24" s="19"/>
      <c r="C24" s="19"/>
      <c r="D24" s="19"/>
      <c r="E24" s="20"/>
    </row>
    <row r="25" spans="1:5" ht="14.25" x14ac:dyDescent="0.2">
      <c r="A25" s="21">
        <v>510.08</v>
      </c>
      <c r="B25" s="19"/>
      <c r="C25" s="19" t="s">
        <v>454</v>
      </c>
      <c r="D25" s="19"/>
      <c r="E25" s="20">
        <f>+('Personnel Sched-Util Admin'!I17*1.03)*0.0027</f>
        <v>327.93999741000005</v>
      </c>
    </row>
    <row r="26" spans="1:5" ht="14.25" x14ac:dyDescent="0.2">
      <c r="A26" s="21"/>
      <c r="B26" s="19"/>
      <c r="C26" s="19"/>
      <c r="D26" s="19"/>
      <c r="E26" s="20"/>
    </row>
    <row r="27" spans="1:5" ht="14.25" x14ac:dyDescent="0.2">
      <c r="A27" s="21">
        <v>510.09</v>
      </c>
      <c r="B27" s="19"/>
      <c r="C27" s="19" t="s">
        <v>541</v>
      </c>
      <c r="D27" s="19"/>
      <c r="E27" s="20">
        <v>600</v>
      </c>
    </row>
    <row r="28" spans="1:5" ht="14.25" x14ac:dyDescent="0.2">
      <c r="A28" s="21"/>
      <c r="B28" s="19"/>
      <c r="C28" s="19"/>
      <c r="D28" s="19"/>
      <c r="E28" s="20"/>
    </row>
    <row r="29" spans="1:5" ht="14.25" x14ac:dyDescent="0.2">
      <c r="A29" s="21">
        <v>510.12</v>
      </c>
      <c r="B29" s="19"/>
      <c r="C29" s="19" t="s">
        <v>542</v>
      </c>
      <c r="D29" s="19"/>
      <c r="E29" s="20">
        <f>+(3150)+(2*150)</f>
        <v>3450</v>
      </c>
    </row>
    <row r="30" spans="1:5" ht="14.25" x14ac:dyDescent="0.2">
      <c r="A30" s="21"/>
      <c r="B30" s="19"/>
      <c r="C30" s="19"/>
      <c r="D30" s="19"/>
      <c r="E30" s="20"/>
    </row>
    <row r="31" spans="1:5" ht="14.25" x14ac:dyDescent="0.2">
      <c r="A31" s="21">
        <v>520.1</v>
      </c>
      <c r="B31" s="19"/>
      <c r="C31" s="19" t="s">
        <v>403</v>
      </c>
      <c r="D31" s="19"/>
      <c r="E31" s="20">
        <v>1300</v>
      </c>
    </row>
    <row r="32" spans="1:5" ht="14.25" x14ac:dyDescent="0.2">
      <c r="A32" s="21"/>
      <c r="B32" s="19"/>
      <c r="C32" s="19" t="s">
        <v>318</v>
      </c>
      <c r="D32" s="19"/>
      <c r="E32" s="20">
        <v>700</v>
      </c>
    </row>
    <row r="33" spans="1:5" ht="14.25" x14ac:dyDescent="0.2">
      <c r="A33" s="21"/>
      <c r="B33" s="19"/>
      <c r="C33" s="19" t="s">
        <v>499</v>
      </c>
      <c r="D33" s="19"/>
      <c r="E33" s="22">
        <v>100</v>
      </c>
    </row>
    <row r="34" spans="1:5" ht="14.25" x14ac:dyDescent="0.2">
      <c r="A34" s="21"/>
      <c r="B34" s="19"/>
      <c r="C34" s="19" t="s">
        <v>12</v>
      </c>
      <c r="D34" s="19"/>
      <c r="E34" s="20">
        <f>SUM(E31:E33)</f>
        <v>2100</v>
      </c>
    </row>
    <row r="35" spans="1:5" ht="14.25" x14ac:dyDescent="0.2">
      <c r="A35" s="21"/>
      <c r="B35" s="19"/>
      <c r="C35" s="19"/>
      <c r="D35" s="19"/>
      <c r="E35" s="20"/>
    </row>
    <row r="36" spans="1:5" ht="14.25" x14ac:dyDescent="0.2">
      <c r="A36" s="21">
        <v>530.02</v>
      </c>
      <c r="B36" s="19"/>
      <c r="C36" s="19" t="s">
        <v>589</v>
      </c>
      <c r="D36" s="19"/>
      <c r="E36" s="20">
        <v>1200</v>
      </c>
    </row>
    <row r="37" spans="1:5" ht="14.25" x14ac:dyDescent="0.2">
      <c r="A37" s="21"/>
      <c r="B37" s="19"/>
      <c r="C37" s="19" t="s">
        <v>590</v>
      </c>
      <c r="D37" s="19"/>
      <c r="E37" s="22">
        <v>250</v>
      </c>
    </row>
    <row r="38" spans="1:5" ht="14.25" x14ac:dyDescent="0.2">
      <c r="A38" s="21"/>
      <c r="B38" s="19"/>
      <c r="C38" s="19" t="s">
        <v>12</v>
      </c>
      <c r="D38" s="19"/>
      <c r="E38" s="20">
        <f>SUM(E36:E37)</f>
        <v>1450</v>
      </c>
    </row>
    <row r="39" spans="1:5" ht="14.25" x14ac:dyDescent="0.2">
      <c r="A39" s="21"/>
      <c r="B39" s="19"/>
      <c r="C39" s="19"/>
      <c r="D39" s="19"/>
      <c r="E39" s="20"/>
    </row>
    <row r="40" spans="1:5" ht="14.25" x14ac:dyDescent="0.2">
      <c r="A40" s="21">
        <v>530.03</v>
      </c>
      <c r="B40" s="19"/>
      <c r="C40" s="19" t="s">
        <v>419</v>
      </c>
      <c r="D40" s="19"/>
      <c r="E40" s="20">
        <v>150</v>
      </c>
    </row>
    <row r="41" spans="1:5" ht="14.25" x14ac:dyDescent="0.2">
      <c r="A41" s="21"/>
      <c r="B41" s="19"/>
      <c r="C41" s="19" t="s">
        <v>591</v>
      </c>
      <c r="D41" s="19"/>
      <c r="E41" s="22">
        <v>21000</v>
      </c>
    </row>
    <row r="42" spans="1:5" ht="14.25" x14ac:dyDescent="0.2">
      <c r="A42" s="21"/>
      <c r="B42" s="19"/>
      <c r="C42" s="19" t="s">
        <v>12</v>
      </c>
      <c r="D42" s="19"/>
      <c r="E42" s="20">
        <f>SUM(E40:E41)</f>
        <v>21150</v>
      </c>
    </row>
    <row r="43" spans="1:5" ht="14.25" x14ac:dyDescent="0.2">
      <c r="A43" s="21"/>
      <c r="B43" s="19"/>
      <c r="C43" s="19"/>
      <c r="D43" s="19"/>
      <c r="E43" s="20"/>
    </row>
    <row r="44" spans="1:5" ht="14.25" x14ac:dyDescent="0.2">
      <c r="A44" s="21">
        <v>530.07000000000005</v>
      </c>
      <c r="B44" s="19"/>
      <c r="C44" s="19" t="s">
        <v>724</v>
      </c>
      <c r="D44" s="19"/>
      <c r="E44" s="20">
        <f>3*2500</f>
        <v>7500</v>
      </c>
    </row>
    <row r="45" spans="1:5" ht="14.25" x14ac:dyDescent="0.2">
      <c r="A45" s="21"/>
      <c r="B45" s="19"/>
      <c r="C45" s="19" t="s">
        <v>725</v>
      </c>
      <c r="D45" s="19"/>
      <c r="E45" s="20"/>
    </row>
    <row r="46" spans="1:5" ht="14.25" x14ac:dyDescent="0.2">
      <c r="A46" s="21"/>
      <c r="B46" s="19"/>
      <c r="C46" s="19"/>
      <c r="D46" s="19"/>
      <c r="E46" s="20"/>
    </row>
    <row r="47" spans="1:5" ht="14.25" x14ac:dyDescent="0.2">
      <c r="A47" s="21">
        <v>530.11</v>
      </c>
      <c r="B47" s="19"/>
      <c r="C47" s="19" t="s">
        <v>498</v>
      </c>
      <c r="D47" s="19"/>
      <c r="E47" s="20">
        <v>11000</v>
      </c>
    </row>
    <row r="48" spans="1:5" ht="14.25" x14ac:dyDescent="0.2">
      <c r="A48" s="21"/>
      <c r="B48" s="19"/>
      <c r="C48" s="19"/>
      <c r="D48" s="19"/>
      <c r="E48" s="20"/>
    </row>
    <row r="49" spans="1:5" ht="14.25" x14ac:dyDescent="0.2">
      <c r="A49" s="21">
        <v>530.12</v>
      </c>
      <c r="B49" s="19"/>
      <c r="C49" s="19" t="s">
        <v>404</v>
      </c>
      <c r="D49" s="19"/>
      <c r="E49" s="20">
        <v>3800</v>
      </c>
    </row>
    <row r="50" spans="1:5" ht="14.25" x14ac:dyDescent="0.2">
      <c r="A50" s="21"/>
      <c r="B50" s="19"/>
      <c r="C50" s="19"/>
      <c r="D50" s="19"/>
      <c r="E50" s="20"/>
    </row>
    <row r="51" spans="1:5" ht="14.25" x14ac:dyDescent="0.2">
      <c r="A51" s="21">
        <v>530.13</v>
      </c>
      <c r="B51" s="19"/>
      <c r="C51" s="19" t="s">
        <v>593</v>
      </c>
      <c r="D51" s="19"/>
      <c r="E51" s="20"/>
    </row>
    <row r="52" spans="1:5" ht="14.25" x14ac:dyDescent="0.2">
      <c r="A52" s="21"/>
      <c r="B52" s="19"/>
      <c r="C52" s="19" t="s">
        <v>592</v>
      </c>
      <c r="D52" s="19"/>
      <c r="E52" s="20"/>
    </row>
    <row r="53" spans="1:5" ht="14.25" x14ac:dyDescent="0.2">
      <c r="A53" s="21"/>
      <c r="B53" s="19"/>
      <c r="C53" s="19" t="s">
        <v>594</v>
      </c>
      <c r="D53" s="19"/>
      <c r="E53" s="20">
        <v>600</v>
      </c>
    </row>
    <row r="54" spans="1:5" ht="14.25" x14ac:dyDescent="0.2">
      <c r="A54" s="21"/>
      <c r="B54" s="19"/>
      <c r="C54" s="19" t="s">
        <v>595</v>
      </c>
      <c r="D54" s="19"/>
      <c r="E54" s="20">
        <v>600</v>
      </c>
    </row>
    <row r="55" spans="1:5" ht="14.25" x14ac:dyDescent="0.2">
      <c r="A55" s="21"/>
      <c r="B55" s="19"/>
      <c r="C55" s="19" t="s">
        <v>596</v>
      </c>
      <c r="D55" s="19"/>
      <c r="E55" s="20">
        <v>700</v>
      </c>
    </row>
    <row r="56" spans="1:5" ht="14.25" x14ac:dyDescent="0.2">
      <c r="A56" s="21"/>
      <c r="B56" s="19"/>
      <c r="C56" s="19" t="s">
        <v>597</v>
      </c>
      <c r="D56" s="19"/>
      <c r="E56" s="20">
        <v>2000</v>
      </c>
    </row>
    <row r="57" spans="1:5" ht="14.25" x14ac:dyDescent="0.2">
      <c r="A57" s="21"/>
      <c r="B57" s="19"/>
      <c r="C57" s="19" t="s">
        <v>598</v>
      </c>
      <c r="D57" s="19"/>
      <c r="E57" s="20">
        <v>1900</v>
      </c>
    </row>
    <row r="58" spans="1:5" ht="14.25" x14ac:dyDescent="0.2">
      <c r="A58" s="21"/>
      <c r="B58" s="19"/>
      <c r="C58" s="19" t="s">
        <v>599</v>
      </c>
      <c r="D58" s="19"/>
      <c r="E58" s="20">
        <v>500</v>
      </c>
    </row>
    <row r="59" spans="1:5" ht="14.25" x14ac:dyDescent="0.2">
      <c r="A59" s="21"/>
      <c r="B59" s="19"/>
      <c r="C59" s="19" t="s">
        <v>600</v>
      </c>
      <c r="D59" s="19"/>
      <c r="E59" s="20">
        <v>1500</v>
      </c>
    </row>
    <row r="60" spans="1:5" ht="14.25" x14ac:dyDescent="0.2">
      <c r="A60" s="21"/>
      <c r="B60" s="19"/>
      <c r="C60" s="19" t="s">
        <v>601</v>
      </c>
      <c r="D60" s="19"/>
      <c r="E60" s="20">
        <v>185</v>
      </c>
    </row>
    <row r="61" spans="1:5" ht="14.25" x14ac:dyDescent="0.2">
      <c r="A61" s="21"/>
      <c r="B61" s="19"/>
      <c r="C61" s="19" t="s">
        <v>602</v>
      </c>
      <c r="D61" s="19"/>
      <c r="E61" s="20">
        <v>60</v>
      </c>
    </row>
    <row r="62" spans="1:5" ht="14.25" x14ac:dyDescent="0.2">
      <c r="A62" s="21"/>
      <c r="B62" s="19"/>
      <c r="C62" s="19" t="s">
        <v>320</v>
      </c>
      <c r="D62" s="19"/>
      <c r="E62" s="20">
        <v>880</v>
      </c>
    </row>
    <row r="63" spans="1:5" ht="14.25" x14ac:dyDescent="0.2">
      <c r="A63" s="21"/>
      <c r="B63" s="19"/>
      <c r="C63" s="19" t="s">
        <v>603</v>
      </c>
      <c r="D63" s="19"/>
      <c r="E63" s="22">
        <v>200</v>
      </c>
    </row>
    <row r="64" spans="1:5" ht="14.25" x14ac:dyDescent="0.2">
      <c r="A64" s="21"/>
      <c r="B64" s="19"/>
      <c r="C64" s="19" t="s">
        <v>12</v>
      </c>
      <c r="D64" s="19"/>
      <c r="E64" s="20">
        <f>SUM(E53:E63)</f>
        <v>9125</v>
      </c>
    </row>
    <row r="65" spans="1:13" ht="14.25" x14ac:dyDescent="0.2">
      <c r="A65" s="21"/>
      <c r="B65" s="19"/>
      <c r="C65" s="19"/>
      <c r="D65" s="19"/>
      <c r="E65" s="20"/>
    </row>
    <row r="66" spans="1:13" ht="14.25" x14ac:dyDescent="0.2">
      <c r="A66" s="21">
        <v>550.05999999999995</v>
      </c>
      <c r="B66" s="19"/>
      <c r="C66" s="19" t="s">
        <v>501</v>
      </c>
      <c r="D66" s="19"/>
      <c r="E66" s="20">
        <v>3500</v>
      </c>
    </row>
    <row r="67" spans="1:13" ht="14.25" x14ac:dyDescent="0.2">
      <c r="A67" s="21"/>
      <c r="B67" s="19"/>
      <c r="C67" s="19"/>
      <c r="D67" s="19"/>
      <c r="E67" s="20"/>
    </row>
    <row r="68" spans="1:13" ht="18" x14ac:dyDescent="0.25">
      <c r="A68" s="21">
        <v>590.02</v>
      </c>
      <c r="B68" s="19"/>
      <c r="C68" s="19" t="s">
        <v>604</v>
      </c>
      <c r="D68" s="19"/>
      <c r="E68" s="20">
        <v>0</v>
      </c>
      <c r="I68" s="43"/>
      <c r="J68" s="43"/>
      <c r="K68" s="45"/>
      <c r="L68" s="44"/>
      <c r="M68" s="45"/>
    </row>
    <row r="69" spans="1:13" ht="14.25" x14ac:dyDescent="0.2">
      <c r="A69" s="21"/>
      <c r="B69" s="19"/>
      <c r="C69" s="19"/>
      <c r="D69" s="19"/>
      <c r="E69" s="20"/>
    </row>
    <row r="70" spans="1:13" ht="14.25" x14ac:dyDescent="0.2">
      <c r="A70" s="21">
        <v>620.01</v>
      </c>
      <c r="B70" s="19"/>
      <c r="C70" s="19" t="s">
        <v>405</v>
      </c>
      <c r="D70" s="19"/>
      <c r="E70" s="20"/>
    </row>
    <row r="71" spans="1:13" ht="14.25" x14ac:dyDescent="0.2">
      <c r="A71" s="21"/>
      <c r="B71" s="19"/>
      <c r="C71" s="19" t="s">
        <v>605</v>
      </c>
      <c r="D71" s="19"/>
      <c r="E71" s="20">
        <v>64081</v>
      </c>
    </row>
    <row r="72" spans="1:13" ht="14.25" x14ac:dyDescent="0.2">
      <c r="A72" s="21"/>
      <c r="B72" s="19"/>
      <c r="C72" s="19" t="s">
        <v>420</v>
      </c>
      <c r="D72" s="19"/>
      <c r="E72" s="20">
        <v>322276</v>
      </c>
    </row>
    <row r="73" spans="1:13" ht="14.25" x14ac:dyDescent="0.2">
      <c r="A73" s="21"/>
      <c r="B73" s="19"/>
      <c r="C73" s="62" t="s">
        <v>722</v>
      </c>
      <c r="D73" s="19"/>
      <c r="E73" s="20">
        <v>146050</v>
      </c>
    </row>
    <row r="74" spans="1:13" ht="14.25" x14ac:dyDescent="0.2">
      <c r="A74" s="21"/>
      <c r="B74" s="19"/>
      <c r="C74" s="63" t="s">
        <v>723</v>
      </c>
      <c r="D74" s="19"/>
      <c r="E74" s="22">
        <v>640000</v>
      </c>
    </row>
    <row r="75" spans="1:13" ht="14.25" x14ac:dyDescent="0.2">
      <c r="A75" s="21"/>
      <c r="B75" s="19"/>
      <c r="C75" s="19" t="s">
        <v>12</v>
      </c>
      <c r="D75" s="19"/>
      <c r="E75" s="20">
        <f>SUM(E71:E74)</f>
        <v>1172407</v>
      </c>
    </row>
    <row r="76" spans="1:13" ht="14.25" x14ac:dyDescent="0.2">
      <c r="A76" s="21"/>
      <c r="B76" s="19"/>
      <c r="C76" s="19"/>
      <c r="D76" s="19"/>
      <c r="E76" s="20"/>
    </row>
    <row r="77" spans="1:13" ht="14.25" x14ac:dyDescent="0.2">
      <c r="A77" s="19">
        <v>620.04999999999995</v>
      </c>
      <c r="B77" s="19"/>
      <c r="C77" s="19" t="s">
        <v>406</v>
      </c>
      <c r="D77" s="19"/>
      <c r="E77" s="20">
        <v>300000</v>
      </c>
    </row>
    <row r="78" spans="1:13" ht="14.25" x14ac:dyDescent="0.2">
      <c r="A78" s="19"/>
      <c r="B78" s="19"/>
      <c r="C78" s="19"/>
      <c r="D78" s="19"/>
      <c r="E78" s="20"/>
    </row>
    <row r="79" spans="1:13" ht="14.25" x14ac:dyDescent="0.2">
      <c r="A79" s="19">
        <v>620.07000000000005</v>
      </c>
      <c r="B79" s="19"/>
      <c r="C79" s="19" t="s">
        <v>753</v>
      </c>
      <c r="D79" s="19"/>
      <c r="E79" s="41">
        <v>500000</v>
      </c>
    </row>
    <row r="80" spans="1:13" ht="14.25" x14ac:dyDescent="0.2">
      <c r="A80" s="19"/>
      <c r="B80" s="19"/>
      <c r="C80" s="19"/>
      <c r="D80" s="19"/>
      <c r="E80" s="20"/>
    </row>
    <row r="81" spans="1:5" ht="14.25" x14ac:dyDescent="0.2">
      <c r="A81" s="19"/>
      <c r="B81" s="19"/>
      <c r="C81" s="19"/>
      <c r="D81" s="19"/>
      <c r="E81" s="20"/>
    </row>
    <row r="82" spans="1:5" ht="14.25" x14ac:dyDescent="0.2">
      <c r="A82" s="19"/>
      <c r="B82" s="19"/>
      <c r="C82" s="19"/>
      <c r="D82" s="19"/>
      <c r="E82" s="20"/>
    </row>
    <row r="83" spans="1:5" ht="14.25" x14ac:dyDescent="0.2">
      <c r="A83" s="19"/>
      <c r="B83" s="19"/>
      <c r="C83" s="19"/>
      <c r="D83" s="19"/>
      <c r="E83" s="20"/>
    </row>
    <row r="84" spans="1:5" ht="14.25" x14ac:dyDescent="0.2">
      <c r="A84" s="19"/>
      <c r="B84" s="19"/>
      <c r="C84" s="19"/>
      <c r="D84" s="19"/>
      <c r="E84" s="20"/>
    </row>
    <row r="85" spans="1:5" ht="14.25" x14ac:dyDescent="0.2">
      <c r="A85" s="19"/>
      <c r="B85" s="19"/>
      <c r="C85" s="19"/>
      <c r="D85" s="19"/>
      <c r="E85" s="20"/>
    </row>
    <row r="86" spans="1:5" ht="14.25" x14ac:dyDescent="0.2">
      <c r="A86" s="19"/>
      <c r="B86" s="19"/>
      <c r="C86" s="19"/>
      <c r="D86" s="19"/>
      <c r="E86" s="20"/>
    </row>
  </sheetData>
  <printOptions headings="1" gridLines="1"/>
  <pageMargins left="0.7" right="0.7" top="0.75" bottom="0.75" header="0.3" footer="0.3"/>
  <pageSetup scale="83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4"/>
  <sheetViews>
    <sheetView workbookViewId="0">
      <selection activeCell="I20" sqref="I20"/>
    </sheetView>
  </sheetViews>
  <sheetFormatPr defaultRowHeight="12.75" x14ac:dyDescent="0.2"/>
  <cols>
    <col min="3" max="3" width="0" hidden="1" customWidth="1"/>
    <col min="5" max="6" width="0" hidden="1" customWidth="1"/>
    <col min="9" max="9" width="10.140625" bestFit="1" customWidth="1"/>
  </cols>
  <sheetData>
    <row r="1" spans="1:9" x14ac:dyDescent="0.2">
      <c r="A1" t="s">
        <v>330</v>
      </c>
    </row>
    <row r="3" spans="1:9" x14ac:dyDescent="0.2">
      <c r="A3" t="s">
        <v>304</v>
      </c>
      <c r="B3" t="s">
        <v>349</v>
      </c>
    </row>
    <row r="4" spans="1:9" x14ac:dyDescent="0.2">
      <c r="A4" t="s">
        <v>306</v>
      </c>
      <c r="B4" t="s">
        <v>452</v>
      </c>
    </row>
    <row r="5" spans="1:9" x14ac:dyDescent="0.2">
      <c r="E5" s="25" t="s">
        <v>340</v>
      </c>
      <c r="G5" s="25" t="s">
        <v>658</v>
      </c>
      <c r="H5" s="25"/>
      <c r="I5" s="24" t="s">
        <v>781</v>
      </c>
    </row>
    <row r="6" spans="1:9" x14ac:dyDescent="0.2">
      <c r="A6" s="15" t="s">
        <v>331</v>
      </c>
      <c r="E6" s="16" t="s">
        <v>332</v>
      </c>
      <c r="G6" s="16" t="s">
        <v>333</v>
      </c>
      <c r="H6" s="16"/>
      <c r="I6" s="16" t="s">
        <v>333</v>
      </c>
    </row>
    <row r="8" spans="1:9" x14ac:dyDescent="0.2">
      <c r="A8" t="s">
        <v>372</v>
      </c>
      <c r="E8" s="23">
        <v>3640</v>
      </c>
      <c r="G8" s="23">
        <v>41600</v>
      </c>
      <c r="H8" s="23"/>
      <c r="I8" s="23">
        <f>G8*103%</f>
        <v>42848</v>
      </c>
    </row>
    <row r="9" spans="1:9" x14ac:dyDescent="0.2">
      <c r="E9" s="23"/>
      <c r="G9" s="23"/>
      <c r="H9" s="23"/>
      <c r="I9" s="23"/>
    </row>
    <row r="10" spans="1:9" x14ac:dyDescent="0.2">
      <c r="A10" s="24" t="s">
        <v>504</v>
      </c>
      <c r="C10" s="24" t="s">
        <v>756</v>
      </c>
      <c r="E10" s="23">
        <v>2513</v>
      </c>
      <c r="G10" s="23">
        <v>33884</v>
      </c>
      <c r="H10" s="23"/>
      <c r="I10" s="23">
        <f>G10*103%</f>
        <v>34900.520000000004</v>
      </c>
    </row>
    <row r="11" spans="1:9" x14ac:dyDescent="0.2">
      <c r="E11" s="23"/>
      <c r="G11" s="23"/>
      <c r="H11" s="23"/>
      <c r="I11" s="23"/>
    </row>
    <row r="12" spans="1:9" x14ac:dyDescent="0.2">
      <c r="A12" s="24" t="s">
        <v>504</v>
      </c>
      <c r="C12" s="24" t="s">
        <v>757</v>
      </c>
      <c r="E12" s="23"/>
      <c r="G12" s="23"/>
      <c r="H12" s="23"/>
      <c r="I12" s="23">
        <v>31200</v>
      </c>
    </row>
    <row r="13" spans="1:9" x14ac:dyDescent="0.2">
      <c r="E13" s="23"/>
      <c r="G13" s="23"/>
      <c r="H13" s="23"/>
      <c r="I13" s="23"/>
    </row>
    <row r="14" spans="1:9" x14ac:dyDescent="0.2">
      <c r="A14" s="24" t="s">
        <v>910</v>
      </c>
      <c r="I14" s="23">
        <v>20000</v>
      </c>
    </row>
    <row r="15" spans="1:9" x14ac:dyDescent="0.2">
      <c r="I15" s="23"/>
    </row>
    <row r="16" spans="1:9" x14ac:dyDescent="0.2">
      <c r="I16" s="23"/>
    </row>
    <row r="17" spans="1:9" x14ac:dyDescent="0.2">
      <c r="A17" s="24" t="s">
        <v>359</v>
      </c>
      <c r="E17" s="23"/>
      <c r="G17" s="23">
        <v>42000</v>
      </c>
      <c r="H17" s="23"/>
      <c r="I17" s="42">
        <v>42000</v>
      </c>
    </row>
    <row r="18" spans="1:9" x14ac:dyDescent="0.2">
      <c r="E18" s="23"/>
      <c r="G18" s="23"/>
      <c r="H18" s="23"/>
      <c r="I18" s="23"/>
    </row>
    <row r="19" spans="1:9" x14ac:dyDescent="0.2">
      <c r="A19" t="s">
        <v>336</v>
      </c>
      <c r="E19" s="23"/>
      <c r="G19" s="23">
        <f>SUM(G8:G17)</f>
        <v>117484</v>
      </c>
      <c r="H19" s="23"/>
      <c r="I19" s="23">
        <f>SUM(I8:I17)</f>
        <v>170948.52000000002</v>
      </c>
    </row>
    <row r="20" spans="1:9" x14ac:dyDescent="0.2">
      <c r="E20" s="23"/>
      <c r="G20" s="23"/>
      <c r="H20" s="23"/>
      <c r="I20" s="23"/>
    </row>
    <row r="21" spans="1:9" x14ac:dyDescent="0.2">
      <c r="G21" s="23"/>
      <c r="H21" s="23"/>
      <c r="I21" s="23"/>
    </row>
    <row r="22" spans="1:9" x14ac:dyDescent="0.2">
      <c r="G22" s="23"/>
      <c r="H22" s="23"/>
      <c r="I22" s="23"/>
    </row>
    <row r="23" spans="1:9" x14ac:dyDescent="0.2">
      <c r="I23" s="23"/>
    </row>
    <row r="24" spans="1:9" x14ac:dyDescent="0.2">
      <c r="I24" s="23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L102"/>
  <sheetViews>
    <sheetView topLeftCell="A61" zoomScaleNormal="100" workbookViewId="0">
      <selection activeCell="G91" sqref="G91"/>
    </sheetView>
  </sheetViews>
  <sheetFormatPr defaultRowHeight="12.75" x14ac:dyDescent="0.2"/>
  <cols>
    <col min="4" max="4" width="41.28515625" customWidth="1"/>
    <col min="6" max="6" width="10.28515625" customWidth="1"/>
    <col min="11" max="11" width="14.140625" customWidth="1"/>
  </cols>
  <sheetData>
    <row r="2" spans="1:7" x14ac:dyDescent="0.2">
      <c r="A2" s="7" t="s">
        <v>303</v>
      </c>
      <c r="B2" s="7"/>
      <c r="C2" s="7"/>
      <c r="D2" s="7"/>
      <c r="E2" s="7"/>
      <c r="G2" s="7"/>
    </row>
    <row r="3" spans="1:7" x14ac:dyDescent="0.2">
      <c r="A3" s="7"/>
      <c r="B3" s="7"/>
      <c r="C3" s="7"/>
      <c r="D3" s="7"/>
      <c r="E3" s="7"/>
      <c r="G3" s="7"/>
    </row>
    <row r="4" spans="1:7" x14ac:dyDescent="0.2">
      <c r="A4" s="7" t="s">
        <v>304</v>
      </c>
      <c r="B4" s="7"/>
      <c r="C4" s="7" t="s">
        <v>351</v>
      </c>
      <c r="D4" s="7"/>
    </row>
    <row r="5" spans="1:7" x14ac:dyDescent="0.2">
      <c r="A5" s="7" t="s">
        <v>306</v>
      </c>
      <c r="B5" s="7"/>
      <c r="C5" s="7" t="s">
        <v>452</v>
      </c>
      <c r="D5" s="7"/>
    </row>
    <row r="6" spans="1:7" x14ac:dyDescent="0.2">
      <c r="A6" s="7"/>
      <c r="B6" s="7"/>
      <c r="C6" s="7"/>
      <c r="D6" s="7"/>
      <c r="E6" s="61" t="s">
        <v>658</v>
      </c>
      <c r="G6" s="61" t="s">
        <v>805</v>
      </c>
    </row>
    <row r="7" spans="1:7" x14ac:dyDescent="0.2">
      <c r="A7" s="8" t="s">
        <v>308</v>
      </c>
      <c r="B7" s="7"/>
      <c r="C7" s="9" t="s">
        <v>309</v>
      </c>
      <c r="D7" s="7"/>
      <c r="E7" s="9" t="s">
        <v>310</v>
      </c>
      <c r="G7" s="9" t="s">
        <v>781</v>
      </c>
    </row>
    <row r="9" spans="1:7" ht="14.25" x14ac:dyDescent="0.2">
      <c r="A9" s="19">
        <v>510.03</v>
      </c>
      <c r="B9" s="19"/>
      <c r="C9" s="19" t="s">
        <v>629</v>
      </c>
      <c r="D9" s="19"/>
      <c r="E9" s="20">
        <v>3000</v>
      </c>
      <c r="G9" s="20"/>
    </row>
    <row r="10" spans="1:7" ht="14.25" x14ac:dyDescent="0.2">
      <c r="A10" s="19"/>
      <c r="B10" s="19"/>
      <c r="C10" s="19" t="s">
        <v>505</v>
      </c>
      <c r="D10" s="19"/>
      <c r="E10" s="22">
        <v>3000</v>
      </c>
      <c r="G10" s="22"/>
    </row>
    <row r="11" spans="1:7" ht="14.25" x14ac:dyDescent="0.2">
      <c r="A11" s="19"/>
      <c r="B11" s="19"/>
      <c r="C11" s="19" t="s">
        <v>12</v>
      </c>
      <c r="D11" s="19"/>
      <c r="E11" s="20">
        <f>SUM(E9:E10)</f>
        <v>6000</v>
      </c>
      <c r="G11" s="20"/>
    </row>
    <row r="12" spans="1:7" ht="14.25" x14ac:dyDescent="0.2">
      <c r="A12" s="19"/>
      <c r="B12" s="19"/>
      <c r="C12" s="19"/>
      <c r="D12" s="19"/>
      <c r="E12" s="20"/>
      <c r="G12" s="20"/>
    </row>
    <row r="13" spans="1:7" ht="14.25" x14ac:dyDescent="0.2">
      <c r="A13" s="21">
        <v>510.05</v>
      </c>
      <c r="B13" s="19"/>
      <c r="C13" s="19" t="s">
        <v>557</v>
      </c>
      <c r="D13" s="19"/>
      <c r="E13" s="20">
        <f>3*7928</f>
        <v>23784</v>
      </c>
      <c r="G13" s="20"/>
    </row>
    <row r="14" spans="1:7" ht="14.25" x14ac:dyDescent="0.2">
      <c r="A14" s="21"/>
      <c r="B14" s="19"/>
      <c r="C14" s="19" t="s">
        <v>506</v>
      </c>
      <c r="D14" s="19"/>
      <c r="E14" s="20">
        <f>3*24*12</f>
        <v>864</v>
      </c>
      <c r="G14" s="20"/>
    </row>
    <row r="15" spans="1:7" ht="14.25" x14ac:dyDescent="0.2">
      <c r="A15" s="21"/>
      <c r="B15" s="19"/>
      <c r="C15" s="19" t="s">
        <v>423</v>
      </c>
      <c r="D15" s="19"/>
      <c r="E15" s="20">
        <f>+'Personnel Sched-WWTP'!I19*0.00515</f>
        <v>880.38487800000007</v>
      </c>
      <c r="G15" s="20"/>
    </row>
    <row r="16" spans="1:7" ht="14.25" x14ac:dyDescent="0.2">
      <c r="A16" s="21"/>
      <c r="B16" s="19"/>
      <c r="C16" s="19" t="s">
        <v>507</v>
      </c>
      <c r="D16" s="19"/>
      <c r="E16" s="20">
        <f>3*12*3</f>
        <v>108</v>
      </c>
      <c r="G16" s="20"/>
    </row>
    <row r="17" spans="1:7" ht="14.25" x14ac:dyDescent="0.2">
      <c r="A17" s="21"/>
      <c r="B17" s="19"/>
      <c r="C17" s="19" t="s">
        <v>508</v>
      </c>
      <c r="D17" s="19"/>
      <c r="E17" s="22">
        <f>3*55</f>
        <v>165</v>
      </c>
      <c r="G17" s="22"/>
    </row>
    <row r="18" spans="1:7" ht="14.25" x14ac:dyDescent="0.2">
      <c r="A18" s="21"/>
      <c r="B18" s="19"/>
      <c r="C18" s="19" t="s">
        <v>313</v>
      </c>
      <c r="D18" s="19"/>
      <c r="E18" s="20">
        <f>SUM(E13:E17)</f>
        <v>25801.384878000001</v>
      </c>
      <c r="G18" s="20"/>
    </row>
    <row r="19" spans="1:7" ht="14.25" x14ac:dyDescent="0.2">
      <c r="A19" s="21"/>
      <c r="B19" s="19"/>
      <c r="C19" s="19"/>
      <c r="D19" s="19"/>
      <c r="E19" s="20"/>
      <c r="G19" s="20"/>
    </row>
    <row r="20" spans="1:7" ht="14.25" x14ac:dyDescent="0.2">
      <c r="A20" s="21">
        <v>510.06</v>
      </c>
      <c r="B20" s="19"/>
      <c r="C20" s="19" t="s">
        <v>317</v>
      </c>
      <c r="D20" s="19"/>
      <c r="E20" s="20">
        <f>+'Personnel Sched-WWTP'!I19*0.0765</f>
        <v>13077.561780000002</v>
      </c>
      <c r="G20" s="20"/>
    </row>
    <row r="21" spans="1:7" ht="14.25" x14ac:dyDescent="0.2">
      <c r="A21" s="21"/>
      <c r="B21" s="19"/>
      <c r="C21" s="19"/>
      <c r="D21" s="19"/>
      <c r="E21" s="20"/>
      <c r="G21" s="20"/>
    </row>
    <row r="22" spans="1:7" ht="14.25" x14ac:dyDescent="0.2">
      <c r="A22" s="21">
        <v>510.07</v>
      </c>
      <c r="B22" s="19"/>
      <c r="C22" s="19" t="s">
        <v>782</v>
      </c>
      <c r="D22" s="19"/>
      <c r="E22" s="20">
        <f>+'Personnel Sched-WWTP'!I19*0.0464</f>
        <v>7932.0113280000005</v>
      </c>
      <c r="G22" s="20"/>
    </row>
    <row r="23" spans="1:7" ht="14.25" x14ac:dyDescent="0.2">
      <c r="A23" s="21"/>
      <c r="B23" s="19"/>
      <c r="C23" s="19"/>
      <c r="D23" s="19"/>
      <c r="E23" s="20"/>
      <c r="G23" s="20"/>
    </row>
    <row r="24" spans="1:7" ht="14.25" x14ac:dyDescent="0.2">
      <c r="A24" s="21">
        <v>510.08</v>
      </c>
      <c r="B24" s="19"/>
      <c r="C24" s="19" t="s">
        <v>630</v>
      </c>
      <c r="D24" s="19"/>
      <c r="E24" s="20">
        <f>+('Personnel Sched-WWTP'!I19*1.03)*0.0214</f>
        <v>3768.0472778400003</v>
      </c>
      <c r="G24" s="20"/>
    </row>
    <row r="25" spans="1:7" ht="14.25" x14ac:dyDescent="0.2">
      <c r="A25" s="21"/>
      <c r="B25" s="19"/>
      <c r="C25" s="19"/>
      <c r="D25" s="19"/>
      <c r="E25" s="20"/>
      <c r="G25" s="20"/>
    </row>
    <row r="26" spans="1:7" ht="14.25" x14ac:dyDescent="0.2">
      <c r="A26" s="21">
        <v>510.09</v>
      </c>
      <c r="B26" s="19"/>
      <c r="C26" s="19" t="s">
        <v>541</v>
      </c>
      <c r="D26" s="19"/>
      <c r="E26" s="20">
        <f>+'Personnel Sched-WWTP'!I19*0.03</f>
        <v>5128.4556000000002</v>
      </c>
      <c r="G26" s="20"/>
    </row>
    <row r="27" spans="1:7" ht="14.25" x14ac:dyDescent="0.2">
      <c r="A27" s="21"/>
      <c r="B27" s="19"/>
      <c r="C27" s="19"/>
      <c r="D27" s="19"/>
      <c r="E27" s="20"/>
      <c r="G27" s="20"/>
    </row>
    <row r="28" spans="1:7" ht="14.25" x14ac:dyDescent="0.2">
      <c r="A28" s="21">
        <v>510.12</v>
      </c>
      <c r="B28" s="19"/>
      <c r="C28" s="19" t="s">
        <v>542</v>
      </c>
      <c r="D28" s="19"/>
      <c r="E28" s="20">
        <f>+(900)+(3*150)</f>
        <v>1350</v>
      </c>
      <c r="G28" s="20"/>
    </row>
    <row r="29" spans="1:7" ht="14.25" x14ac:dyDescent="0.2">
      <c r="A29" s="19"/>
      <c r="B29" s="19"/>
      <c r="C29" s="19"/>
      <c r="D29" s="19"/>
      <c r="E29" s="20"/>
      <c r="G29" s="20"/>
    </row>
    <row r="30" spans="1:7" ht="14.25" x14ac:dyDescent="0.2">
      <c r="A30" s="19">
        <v>520.01</v>
      </c>
      <c r="B30" s="19"/>
      <c r="C30" s="19" t="s">
        <v>133</v>
      </c>
      <c r="D30" s="19"/>
      <c r="E30">
        <v>1300</v>
      </c>
      <c r="G30" s="20">
        <v>3500</v>
      </c>
    </row>
    <row r="31" spans="1:7" ht="14.25" x14ac:dyDescent="0.2">
      <c r="A31" s="19">
        <v>520.03</v>
      </c>
      <c r="B31" s="19"/>
      <c r="C31" s="19" t="s">
        <v>882</v>
      </c>
      <c r="D31" s="19"/>
      <c r="E31">
        <v>120</v>
      </c>
      <c r="G31" s="20">
        <v>200</v>
      </c>
    </row>
    <row r="32" spans="1:7" ht="14.25" x14ac:dyDescent="0.2">
      <c r="A32" s="19">
        <v>520.04</v>
      </c>
      <c r="B32" s="19"/>
      <c r="C32" s="19" t="s">
        <v>167</v>
      </c>
      <c r="D32" s="19"/>
      <c r="E32" s="20">
        <v>4300</v>
      </c>
      <c r="G32" s="20"/>
    </row>
    <row r="33" spans="1:12" ht="14.25" x14ac:dyDescent="0.2">
      <c r="A33" s="19"/>
      <c r="B33" s="19"/>
      <c r="C33" s="19" t="s">
        <v>376</v>
      </c>
      <c r="D33" s="19"/>
      <c r="E33" s="22">
        <v>200</v>
      </c>
      <c r="G33" s="22"/>
    </row>
    <row r="34" spans="1:12" ht="14.25" x14ac:dyDescent="0.2">
      <c r="A34" s="19"/>
      <c r="B34" s="19"/>
      <c r="C34" s="19" t="s">
        <v>12</v>
      </c>
      <c r="D34" s="19"/>
      <c r="E34" s="20">
        <f>SUM(E32:E33)</f>
        <v>4500</v>
      </c>
      <c r="G34" s="20">
        <v>4500</v>
      </c>
    </row>
    <row r="35" spans="1:12" ht="14.25" x14ac:dyDescent="0.2">
      <c r="A35" s="19">
        <v>520.05999999999995</v>
      </c>
      <c r="B35" s="19"/>
      <c r="C35" s="19" t="s">
        <v>199</v>
      </c>
      <c r="D35" s="19"/>
      <c r="G35" s="20">
        <v>4000</v>
      </c>
    </row>
    <row r="36" spans="1:12" ht="14.25" x14ac:dyDescent="0.2">
      <c r="A36" s="19">
        <v>520.07000000000005</v>
      </c>
      <c r="B36" s="19"/>
      <c r="C36" s="19" t="s">
        <v>192</v>
      </c>
      <c r="D36" s="19"/>
      <c r="G36" s="20">
        <v>4000</v>
      </c>
    </row>
    <row r="37" spans="1:12" ht="14.25" x14ac:dyDescent="0.2">
      <c r="A37" s="19">
        <v>520.08000000000004</v>
      </c>
      <c r="B37" s="19"/>
      <c r="C37" s="19" t="s">
        <v>435</v>
      </c>
      <c r="D37" s="19"/>
      <c r="G37" s="20">
        <v>5000</v>
      </c>
    </row>
    <row r="38" spans="1:12" ht="18" x14ac:dyDescent="0.25">
      <c r="A38" s="19">
        <v>520.09</v>
      </c>
      <c r="B38" s="19"/>
      <c r="C38" s="19" t="s">
        <v>509</v>
      </c>
      <c r="D38" s="19"/>
      <c r="E38" s="20">
        <v>10000</v>
      </c>
      <c r="G38" s="20"/>
      <c r="K38" s="5"/>
      <c r="L38" s="1"/>
    </row>
    <row r="39" spans="1:12" ht="18" x14ac:dyDescent="0.25">
      <c r="A39" s="19"/>
      <c r="B39" s="19"/>
      <c r="C39" s="19" t="s">
        <v>510</v>
      </c>
      <c r="D39" s="19"/>
      <c r="E39" s="20">
        <v>10000</v>
      </c>
      <c r="G39" s="20"/>
      <c r="K39" s="4"/>
      <c r="L39" s="2"/>
    </row>
    <row r="40" spans="1:12" ht="18" x14ac:dyDescent="0.25">
      <c r="A40" s="19"/>
      <c r="B40" s="19"/>
      <c r="C40" s="19" t="s">
        <v>184</v>
      </c>
      <c r="D40" s="19"/>
      <c r="E40" s="22">
        <v>18000</v>
      </c>
      <c r="G40" s="22"/>
      <c r="K40" s="5"/>
      <c r="L40" s="1"/>
    </row>
    <row r="41" spans="1:12" ht="18" x14ac:dyDescent="0.25">
      <c r="A41" s="19"/>
      <c r="B41" s="19"/>
      <c r="C41" s="19" t="s">
        <v>12</v>
      </c>
      <c r="D41" s="19"/>
      <c r="E41" s="20">
        <f>SUM(E38:E40)</f>
        <v>38000</v>
      </c>
      <c r="G41" s="20">
        <v>40000</v>
      </c>
      <c r="K41" s="5"/>
      <c r="L41" s="1"/>
    </row>
    <row r="42" spans="1:12" ht="18" x14ac:dyDescent="0.25">
      <c r="A42" s="21">
        <v>520.1</v>
      </c>
      <c r="B42" s="19"/>
      <c r="C42" s="19" t="s">
        <v>851</v>
      </c>
      <c r="D42" s="19"/>
      <c r="E42" s="20">
        <v>3000</v>
      </c>
      <c r="G42" s="20">
        <v>10000</v>
      </c>
      <c r="K42" s="5"/>
      <c r="L42" s="1"/>
    </row>
    <row r="43" spans="1:12" ht="18" x14ac:dyDescent="0.25">
      <c r="A43" s="19">
        <v>520.12</v>
      </c>
      <c r="B43" s="19"/>
      <c r="C43" s="19" t="s">
        <v>204</v>
      </c>
      <c r="D43" s="19"/>
      <c r="E43" s="20">
        <v>1200</v>
      </c>
      <c r="G43" s="20">
        <v>2500</v>
      </c>
      <c r="K43" s="5"/>
      <c r="L43" s="1"/>
    </row>
    <row r="44" spans="1:12" ht="18" x14ac:dyDescent="0.25">
      <c r="A44" s="19"/>
      <c r="B44" s="19"/>
      <c r="C44" s="19" t="s">
        <v>873</v>
      </c>
      <c r="D44" s="19"/>
      <c r="E44" s="20"/>
      <c r="G44" s="20">
        <v>25000</v>
      </c>
      <c r="K44" s="5"/>
      <c r="L44" s="1"/>
    </row>
    <row r="45" spans="1:12" ht="18" x14ac:dyDescent="0.25">
      <c r="A45" s="19"/>
      <c r="B45" s="19"/>
      <c r="C45" s="19"/>
      <c r="D45" s="19"/>
      <c r="E45" s="20"/>
      <c r="G45" s="20"/>
      <c r="K45" s="5"/>
      <c r="L45" s="1"/>
    </row>
    <row r="46" spans="1:12" ht="18" x14ac:dyDescent="0.25">
      <c r="A46" s="19">
        <v>530.01</v>
      </c>
      <c r="B46" s="19"/>
      <c r="C46" s="19" t="s">
        <v>742</v>
      </c>
      <c r="D46" s="19"/>
      <c r="E46" s="20">
        <v>2550</v>
      </c>
      <c r="G46" s="20"/>
      <c r="K46" s="5"/>
      <c r="L46" s="1"/>
    </row>
    <row r="47" spans="1:12" ht="14.25" x14ac:dyDescent="0.2">
      <c r="A47" s="19"/>
      <c r="B47" s="19"/>
      <c r="C47" s="19" t="s">
        <v>513</v>
      </c>
      <c r="D47" s="19"/>
      <c r="E47" s="22">
        <v>2450</v>
      </c>
      <c r="G47" s="22"/>
    </row>
    <row r="48" spans="1:12" ht="14.25" x14ac:dyDescent="0.2">
      <c r="A48" s="19"/>
      <c r="B48" s="19"/>
      <c r="C48" s="19" t="s">
        <v>12</v>
      </c>
      <c r="D48" s="19"/>
      <c r="E48" s="20">
        <f>SUM(E46:E47)</f>
        <v>5000</v>
      </c>
      <c r="G48" s="20">
        <v>5000</v>
      </c>
    </row>
    <row r="49" spans="1:7" ht="14.25" x14ac:dyDescent="0.2">
      <c r="A49" s="19">
        <v>530.02</v>
      </c>
      <c r="B49" s="19"/>
      <c r="C49" s="19" t="s">
        <v>511</v>
      </c>
      <c r="D49" s="19"/>
      <c r="E49" s="20"/>
      <c r="G49" s="20"/>
    </row>
    <row r="50" spans="1:7" ht="14.25" x14ac:dyDescent="0.2">
      <c r="A50" s="19"/>
      <c r="B50" s="19"/>
      <c r="C50" s="19" t="s">
        <v>631</v>
      </c>
      <c r="D50" s="19"/>
      <c r="E50" s="20">
        <v>48000</v>
      </c>
      <c r="G50" s="20"/>
    </row>
    <row r="51" spans="1:7" ht="14.25" x14ac:dyDescent="0.2">
      <c r="A51" s="19"/>
      <c r="B51" s="19"/>
      <c r="C51" s="19" t="s">
        <v>741</v>
      </c>
      <c r="D51" s="19"/>
      <c r="E51" s="20">
        <v>97000</v>
      </c>
      <c r="G51" s="20"/>
    </row>
    <row r="52" spans="1:7" ht="14.25" x14ac:dyDescent="0.2">
      <c r="A52" s="19"/>
      <c r="B52" s="19"/>
      <c r="C52" s="19" t="s">
        <v>632</v>
      </c>
      <c r="D52" s="19"/>
      <c r="E52" s="22">
        <v>5000</v>
      </c>
      <c r="G52" s="22"/>
    </row>
    <row r="53" spans="1:7" ht="14.25" x14ac:dyDescent="0.2">
      <c r="A53" s="19"/>
      <c r="B53" s="19"/>
      <c r="C53" s="19" t="s">
        <v>12</v>
      </c>
      <c r="D53" s="19"/>
      <c r="E53" s="20">
        <f>SUM(E50:E52)</f>
        <v>150000</v>
      </c>
      <c r="G53" s="20">
        <v>100000</v>
      </c>
    </row>
    <row r="54" spans="1:7" ht="14.25" x14ac:dyDescent="0.2">
      <c r="A54" s="19">
        <v>530.04</v>
      </c>
      <c r="B54" s="19"/>
      <c r="C54" s="19" t="s">
        <v>512</v>
      </c>
      <c r="D54" s="19"/>
      <c r="E54" s="20">
        <v>45000</v>
      </c>
      <c r="G54" s="20">
        <v>5000</v>
      </c>
    </row>
    <row r="55" spans="1:7" ht="14.25" x14ac:dyDescent="0.2">
      <c r="A55" s="19">
        <v>530.04999999999995</v>
      </c>
      <c r="B55" s="19"/>
      <c r="C55" s="19" t="s">
        <v>18</v>
      </c>
      <c r="D55" s="19"/>
      <c r="E55" s="20">
        <v>100</v>
      </c>
      <c r="G55" s="20">
        <v>100</v>
      </c>
    </row>
    <row r="56" spans="1:7" ht="14.25" x14ac:dyDescent="0.2">
      <c r="A56" s="19">
        <v>530.05999999999995</v>
      </c>
      <c r="B56" s="19"/>
      <c r="C56" s="19" t="s">
        <v>141</v>
      </c>
      <c r="D56" s="19"/>
      <c r="E56" s="20">
        <v>1000</v>
      </c>
      <c r="G56" s="20">
        <v>1000</v>
      </c>
    </row>
    <row r="57" spans="1:7" ht="14.25" x14ac:dyDescent="0.2">
      <c r="A57" s="19">
        <v>530.11</v>
      </c>
      <c r="B57" s="19"/>
      <c r="C57" s="19" t="s">
        <v>514</v>
      </c>
      <c r="D57" s="19"/>
      <c r="E57" s="20">
        <v>210000</v>
      </c>
      <c r="G57" s="20"/>
    </row>
    <row r="58" spans="1:7" ht="14.25" x14ac:dyDescent="0.2">
      <c r="A58" s="19"/>
      <c r="B58" s="19"/>
      <c r="C58" s="19" t="s">
        <v>515</v>
      </c>
      <c r="D58" s="19"/>
      <c r="E58" s="22">
        <v>10000</v>
      </c>
      <c r="G58" s="22"/>
    </row>
    <row r="59" spans="1:7" ht="14.25" x14ac:dyDescent="0.2">
      <c r="A59" s="19"/>
      <c r="B59" s="19"/>
      <c r="C59" s="19" t="s">
        <v>12</v>
      </c>
      <c r="D59" s="19"/>
      <c r="E59" s="20">
        <f>SUM(E57:E58)</f>
        <v>220000</v>
      </c>
      <c r="G59" s="20">
        <v>220000</v>
      </c>
    </row>
    <row r="60" spans="1:7" ht="14.25" x14ac:dyDescent="0.2">
      <c r="A60" s="19">
        <v>530.13</v>
      </c>
      <c r="B60" s="19"/>
      <c r="C60" s="19" t="s">
        <v>260</v>
      </c>
      <c r="D60" s="19"/>
      <c r="E60" s="20">
        <v>300</v>
      </c>
      <c r="G60" s="20">
        <v>45000</v>
      </c>
    </row>
    <row r="61" spans="1:7" ht="14.25" x14ac:dyDescent="0.2">
      <c r="A61" s="19">
        <v>530.16999999999996</v>
      </c>
      <c r="B61" s="19"/>
      <c r="C61" s="19" t="s">
        <v>883</v>
      </c>
      <c r="D61" s="19"/>
      <c r="E61" s="20">
        <v>5400</v>
      </c>
      <c r="G61" s="20">
        <v>75000</v>
      </c>
    </row>
    <row r="62" spans="1:7" ht="14.25" x14ac:dyDescent="0.2">
      <c r="A62" s="21">
        <v>530.20000000000005</v>
      </c>
      <c r="B62" s="19"/>
      <c r="C62" s="19" t="s">
        <v>633</v>
      </c>
      <c r="D62" s="19"/>
      <c r="E62" s="20">
        <v>10500</v>
      </c>
      <c r="G62" s="20">
        <v>20000</v>
      </c>
    </row>
    <row r="63" spans="1:7" ht="14.25" x14ac:dyDescent="0.2">
      <c r="A63" s="19"/>
      <c r="B63" s="19"/>
      <c r="C63" s="19"/>
      <c r="D63" s="19"/>
      <c r="E63" s="20"/>
      <c r="G63" s="20"/>
    </row>
    <row r="64" spans="1:7" ht="14.25" x14ac:dyDescent="0.2">
      <c r="A64" s="19">
        <v>540.01</v>
      </c>
      <c r="B64" s="19"/>
      <c r="C64" s="19" t="s">
        <v>740</v>
      </c>
      <c r="D64" s="19"/>
      <c r="E64" s="20">
        <v>10000</v>
      </c>
      <c r="G64" s="20">
        <v>10000</v>
      </c>
    </row>
    <row r="65" spans="1:7" ht="14.25" x14ac:dyDescent="0.2">
      <c r="A65" s="19">
        <v>540.04</v>
      </c>
      <c r="B65" s="19"/>
      <c r="C65" s="19" t="s">
        <v>269</v>
      </c>
      <c r="D65" s="19"/>
      <c r="E65" s="20">
        <v>2000</v>
      </c>
      <c r="G65" s="20">
        <v>2000</v>
      </c>
    </row>
    <row r="66" spans="1:7" ht="14.25" x14ac:dyDescent="0.2">
      <c r="A66" s="19"/>
      <c r="B66" s="19"/>
      <c r="C66" s="19"/>
      <c r="D66" s="19"/>
      <c r="E66" s="20"/>
      <c r="G66" s="20"/>
    </row>
    <row r="67" spans="1:7" ht="14.25" x14ac:dyDescent="0.2">
      <c r="A67" s="19">
        <v>550.01</v>
      </c>
      <c r="B67" s="19"/>
      <c r="C67" s="19" t="s">
        <v>173</v>
      </c>
      <c r="D67" s="19"/>
      <c r="E67" s="20">
        <v>2500</v>
      </c>
      <c r="G67" s="20">
        <v>2500</v>
      </c>
    </row>
    <row r="68" spans="1:7" ht="14.25" x14ac:dyDescent="0.2">
      <c r="A68" s="19">
        <v>550.02</v>
      </c>
      <c r="B68" s="19"/>
      <c r="C68" s="19" t="s">
        <v>739</v>
      </c>
      <c r="D68" s="19"/>
      <c r="E68" s="20">
        <v>75000</v>
      </c>
      <c r="G68" s="20">
        <v>75000</v>
      </c>
    </row>
    <row r="69" spans="1:7" ht="14.25" x14ac:dyDescent="0.2">
      <c r="A69" s="19">
        <v>550.03</v>
      </c>
      <c r="B69" s="19"/>
      <c r="C69" s="19" t="s">
        <v>552</v>
      </c>
      <c r="D69" s="19"/>
      <c r="E69" s="20">
        <v>750</v>
      </c>
      <c r="G69" s="20">
        <v>750</v>
      </c>
    </row>
    <row r="70" spans="1:7" ht="14.25" x14ac:dyDescent="0.2">
      <c r="A70" s="19">
        <v>550.04</v>
      </c>
      <c r="B70" s="19"/>
      <c r="C70" s="19" t="s">
        <v>175</v>
      </c>
      <c r="D70" s="19"/>
      <c r="E70" s="20">
        <v>2500</v>
      </c>
      <c r="G70" s="20">
        <v>2500</v>
      </c>
    </row>
    <row r="71" spans="1:7" ht="14.25" x14ac:dyDescent="0.2">
      <c r="A71" s="19"/>
      <c r="B71" s="19"/>
      <c r="C71" s="19"/>
      <c r="D71" s="19"/>
      <c r="E71" s="20"/>
      <c r="G71" s="20"/>
    </row>
    <row r="72" spans="1:7" ht="14.25" x14ac:dyDescent="0.2">
      <c r="A72" s="19">
        <v>560.02</v>
      </c>
      <c r="B72" s="19"/>
      <c r="C72" s="19" t="s">
        <v>150</v>
      </c>
      <c r="D72" s="19"/>
      <c r="E72" s="20">
        <v>300</v>
      </c>
      <c r="G72" s="20">
        <v>500</v>
      </c>
    </row>
    <row r="73" spans="1:7" ht="14.25" x14ac:dyDescent="0.2">
      <c r="A73" s="19">
        <v>560.09</v>
      </c>
      <c r="B73" s="19"/>
      <c r="C73" s="19" t="s">
        <v>408</v>
      </c>
      <c r="D73" s="19"/>
      <c r="E73" s="20">
        <v>280</v>
      </c>
      <c r="G73" s="20">
        <v>280</v>
      </c>
    </row>
    <row r="74" spans="1:7" ht="14.25" x14ac:dyDescent="0.2">
      <c r="A74" s="21">
        <v>560.1</v>
      </c>
      <c r="B74" s="19"/>
      <c r="C74" s="19" t="s">
        <v>516</v>
      </c>
      <c r="D74" s="19"/>
      <c r="E74" s="22">
        <v>2400</v>
      </c>
      <c r="G74" s="22">
        <v>2400</v>
      </c>
    </row>
    <row r="75" spans="1:7" ht="14.25" x14ac:dyDescent="0.2">
      <c r="A75" s="19"/>
      <c r="B75" s="19"/>
      <c r="C75" s="19"/>
      <c r="D75" s="19"/>
      <c r="E75" s="20"/>
      <c r="G75" s="20"/>
    </row>
    <row r="76" spans="1:7" ht="14.25" x14ac:dyDescent="0.2">
      <c r="A76" s="19">
        <v>580.01</v>
      </c>
      <c r="B76" s="19"/>
      <c r="C76" s="19" t="s">
        <v>153</v>
      </c>
      <c r="D76" s="19"/>
      <c r="E76" s="20">
        <v>17000</v>
      </c>
      <c r="G76" s="20">
        <v>10000</v>
      </c>
    </row>
    <row r="77" spans="1:7" ht="14.25" x14ac:dyDescent="0.2">
      <c r="A77" s="21">
        <v>580.20000000000005</v>
      </c>
      <c r="B77" s="19"/>
      <c r="C77" s="19" t="s">
        <v>634</v>
      </c>
      <c r="D77" s="19"/>
      <c r="E77" s="20">
        <v>10000</v>
      </c>
      <c r="G77" s="20">
        <v>10000</v>
      </c>
    </row>
    <row r="78" spans="1:7" ht="14.25" x14ac:dyDescent="0.2">
      <c r="A78" s="19"/>
      <c r="B78" s="19"/>
      <c r="C78" s="19"/>
      <c r="D78" s="19"/>
      <c r="E78" s="20"/>
      <c r="G78" s="20"/>
    </row>
    <row r="79" spans="1:7" ht="14.25" x14ac:dyDescent="0.2">
      <c r="A79" s="19">
        <v>590.01</v>
      </c>
      <c r="B79" s="19"/>
      <c r="C79" s="19" t="s">
        <v>173</v>
      </c>
      <c r="D79" s="19"/>
      <c r="E79" s="20">
        <v>10000</v>
      </c>
      <c r="G79" s="20">
        <v>1000</v>
      </c>
    </row>
    <row r="80" spans="1:7" ht="14.25" x14ac:dyDescent="0.2">
      <c r="A80" s="19">
        <v>590.02</v>
      </c>
      <c r="B80" s="19"/>
      <c r="C80" s="19" t="s">
        <v>635</v>
      </c>
      <c r="D80" s="19"/>
      <c r="E80" s="20">
        <v>7000</v>
      </c>
      <c r="G80" s="20"/>
    </row>
    <row r="81" spans="1:7" ht="14.25" x14ac:dyDescent="0.2">
      <c r="A81" s="19"/>
      <c r="B81" s="19"/>
      <c r="C81" s="19" t="s">
        <v>636</v>
      </c>
      <c r="D81" s="19"/>
      <c r="E81" s="20">
        <v>0</v>
      </c>
      <c r="F81" s="24" t="s">
        <v>645</v>
      </c>
      <c r="G81" s="20"/>
    </row>
    <row r="82" spans="1:7" ht="14.25" x14ac:dyDescent="0.2">
      <c r="A82" s="19"/>
      <c r="B82" s="19"/>
      <c r="C82" s="19" t="s">
        <v>637</v>
      </c>
      <c r="D82" s="19"/>
      <c r="E82" s="20">
        <v>0</v>
      </c>
      <c r="F82" s="24" t="s">
        <v>645</v>
      </c>
      <c r="G82" s="20"/>
    </row>
    <row r="83" spans="1:7" ht="14.25" x14ac:dyDescent="0.2">
      <c r="A83" s="19"/>
      <c r="B83" s="19"/>
      <c r="C83" s="19" t="s">
        <v>638</v>
      </c>
      <c r="D83" s="19"/>
      <c r="E83" s="20">
        <v>0</v>
      </c>
      <c r="F83" s="24" t="s">
        <v>645</v>
      </c>
      <c r="G83" s="20"/>
    </row>
    <row r="84" spans="1:7" ht="14.25" x14ac:dyDescent="0.2">
      <c r="A84" s="19"/>
      <c r="B84" s="19"/>
      <c r="C84" s="19"/>
      <c r="D84" s="19"/>
      <c r="E84" s="20"/>
      <c r="G84" s="20"/>
    </row>
    <row r="85" spans="1:7" ht="14.25" x14ac:dyDescent="0.2">
      <c r="A85" s="19"/>
      <c r="B85" s="19"/>
      <c r="C85" s="19" t="s">
        <v>639</v>
      </c>
      <c r="D85" s="19"/>
      <c r="E85" s="22">
        <v>2000</v>
      </c>
      <c r="G85" s="22"/>
    </row>
    <row r="86" spans="1:7" ht="14.25" x14ac:dyDescent="0.2">
      <c r="A86" s="19"/>
      <c r="B86" s="19"/>
      <c r="C86" s="19" t="s">
        <v>12</v>
      </c>
      <c r="D86" s="19"/>
      <c r="E86" s="20">
        <f>SUM(E80:E85)</f>
        <v>9000</v>
      </c>
      <c r="G86" s="20">
        <v>15000</v>
      </c>
    </row>
    <row r="87" spans="1:7" s="176" customFormat="1" ht="14.25" x14ac:dyDescent="0.2">
      <c r="A87" s="180">
        <v>590.04</v>
      </c>
      <c r="B87" s="180"/>
      <c r="C87" s="180" t="s">
        <v>793</v>
      </c>
      <c r="D87" s="180"/>
      <c r="E87" s="179">
        <v>7709</v>
      </c>
      <c r="G87" s="179">
        <v>10000</v>
      </c>
    </row>
    <row r="88" spans="1:7" ht="14.25" x14ac:dyDescent="0.2">
      <c r="A88" s="19"/>
      <c r="B88" s="19"/>
      <c r="C88" s="19"/>
      <c r="D88" s="19"/>
      <c r="E88" s="20"/>
      <c r="G88" s="20"/>
    </row>
    <row r="89" spans="1:7" ht="14.25" x14ac:dyDescent="0.2">
      <c r="A89" s="19">
        <v>610.11</v>
      </c>
      <c r="B89" s="19"/>
      <c r="C89" s="19" t="s">
        <v>886</v>
      </c>
      <c r="D89" s="19"/>
      <c r="E89" s="20">
        <v>700000</v>
      </c>
      <c r="G89" s="20">
        <v>700000</v>
      </c>
    </row>
    <row r="90" spans="1:7" ht="14.25" x14ac:dyDescent="0.2">
      <c r="A90" s="21">
        <v>620.04999999999995</v>
      </c>
      <c r="B90" s="19"/>
      <c r="C90" s="19" t="s">
        <v>406</v>
      </c>
      <c r="D90" s="19"/>
      <c r="E90" s="20">
        <v>300000</v>
      </c>
      <c r="G90" s="20">
        <v>287500</v>
      </c>
    </row>
    <row r="91" spans="1:7" ht="14.25" x14ac:dyDescent="0.2">
      <c r="A91" s="21"/>
      <c r="B91" s="19"/>
      <c r="C91" s="19"/>
      <c r="D91" s="19"/>
      <c r="E91" s="41"/>
      <c r="G91" s="41"/>
    </row>
    <row r="92" spans="1:7" ht="14.25" x14ac:dyDescent="0.2">
      <c r="A92" s="34" t="s">
        <v>493</v>
      </c>
      <c r="B92" s="19"/>
      <c r="C92" s="19"/>
      <c r="D92" s="19"/>
      <c r="E92" s="20"/>
      <c r="G92" s="20"/>
    </row>
    <row r="94" spans="1:7" ht="14.25" x14ac:dyDescent="0.2">
      <c r="B94" s="26" t="s">
        <v>640</v>
      </c>
      <c r="C94" s="26"/>
      <c r="D94" s="26"/>
      <c r="E94" s="27">
        <v>55000</v>
      </c>
      <c r="F94" s="24" t="s">
        <v>645</v>
      </c>
      <c r="G94" s="27"/>
    </row>
    <row r="95" spans="1:7" ht="14.25" x14ac:dyDescent="0.2">
      <c r="B95" s="26"/>
      <c r="C95" s="26"/>
      <c r="D95" s="26"/>
      <c r="E95" s="27"/>
      <c r="G95" s="27"/>
    </row>
    <row r="96" spans="1:7" ht="14.25" x14ac:dyDescent="0.2">
      <c r="B96" s="26" t="s">
        <v>641</v>
      </c>
      <c r="C96" s="26"/>
      <c r="D96" s="26"/>
      <c r="E96" s="27">
        <v>50000</v>
      </c>
      <c r="F96" s="24" t="s">
        <v>645</v>
      </c>
      <c r="G96" s="27"/>
    </row>
    <row r="97" spans="2:7" ht="14.25" x14ac:dyDescent="0.2">
      <c r="B97" s="26"/>
      <c r="C97" s="26"/>
      <c r="D97" s="26"/>
      <c r="E97" s="27"/>
      <c r="G97" s="27"/>
    </row>
    <row r="98" spans="2:7" ht="14.25" x14ac:dyDescent="0.2">
      <c r="B98" s="26"/>
      <c r="C98" s="26"/>
      <c r="D98" s="26"/>
      <c r="E98" s="27"/>
      <c r="G98" s="27"/>
    </row>
    <row r="99" spans="2:7" ht="14.25" x14ac:dyDescent="0.2">
      <c r="B99" s="26"/>
      <c r="C99" s="26"/>
      <c r="D99" s="26"/>
      <c r="E99" s="27"/>
      <c r="G99" s="27"/>
    </row>
    <row r="100" spans="2:7" ht="14.25" x14ac:dyDescent="0.2">
      <c r="B100" s="26"/>
      <c r="C100" s="26"/>
      <c r="D100" s="26"/>
      <c r="E100" s="27"/>
      <c r="G100" s="27"/>
    </row>
    <row r="101" spans="2:7" ht="14.25" x14ac:dyDescent="0.2">
      <c r="B101" s="26"/>
      <c r="C101" s="26"/>
      <c r="D101" s="26"/>
      <c r="E101" s="27"/>
      <c r="G101" s="27"/>
    </row>
    <row r="102" spans="2:7" ht="14.25" x14ac:dyDescent="0.2">
      <c r="B102" s="26"/>
      <c r="C102" s="26"/>
      <c r="D102" s="26"/>
      <c r="E102" s="36"/>
      <c r="G102" s="36"/>
    </row>
  </sheetData>
  <printOptions headings="1" gridLines="1"/>
  <pageMargins left="0.25" right="0.25" top="0.75" bottom="0.75" header="0.3" footer="0.3"/>
  <pageSetup scale="93" orientation="portrait" r:id="rId1"/>
  <rowBreaks count="1" manualBreakCount="1">
    <brk id="54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2"/>
  <sheetViews>
    <sheetView workbookViewId="0">
      <selection activeCell="I15" sqref="I15"/>
    </sheetView>
  </sheetViews>
  <sheetFormatPr defaultRowHeight="12.75" x14ac:dyDescent="0.2"/>
  <cols>
    <col min="3" max="3" width="0" hidden="1" customWidth="1"/>
    <col min="5" max="6" width="0" hidden="1" customWidth="1"/>
    <col min="9" max="9" width="11.140625" bestFit="1" customWidth="1"/>
  </cols>
  <sheetData>
    <row r="1" spans="1:9" x14ac:dyDescent="0.2">
      <c r="A1" t="s">
        <v>330</v>
      </c>
    </row>
    <row r="3" spans="1:9" x14ac:dyDescent="0.2">
      <c r="A3" t="s">
        <v>304</v>
      </c>
      <c r="B3" t="s">
        <v>349</v>
      </c>
    </row>
    <row r="4" spans="1:9" x14ac:dyDescent="0.2">
      <c r="A4" t="s">
        <v>306</v>
      </c>
      <c r="B4" t="s">
        <v>453</v>
      </c>
    </row>
    <row r="5" spans="1:9" x14ac:dyDescent="0.2">
      <c r="E5" s="25" t="s">
        <v>340</v>
      </c>
      <c r="G5" s="25" t="s">
        <v>658</v>
      </c>
      <c r="H5" s="25"/>
      <c r="I5" s="24" t="s">
        <v>781</v>
      </c>
    </row>
    <row r="6" spans="1:9" x14ac:dyDescent="0.2">
      <c r="A6" s="15" t="s">
        <v>331</v>
      </c>
      <c r="E6" s="16" t="s">
        <v>332</v>
      </c>
      <c r="G6" s="16" t="s">
        <v>333</v>
      </c>
      <c r="H6" s="16"/>
      <c r="I6" s="16" t="s">
        <v>333</v>
      </c>
    </row>
    <row r="8" spans="1:9" x14ac:dyDescent="0.2">
      <c r="A8" t="s">
        <v>372</v>
      </c>
      <c r="C8" t="s">
        <v>662</v>
      </c>
      <c r="E8" s="23">
        <v>4000</v>
      </c>
      <c r="G8" s="23">
        <v>53040</v>
      </c>
      <c r="H8" s="23"/>
      <c r="I8" s="23">
        <f>G8*103%</f>
        <v>54631.200000000004</v>
      </c>
    </row>
    <row r="9" spans="1:9" x14ac:dyDescent="0.2">
      <c r="E9" s="23"/>
      <c r="G9" s="23"/>
      <c r="H9" s="23"/>
      <c r="I9" s="23"/>
    </row>
    <row r="10" spans="1:9" x14ac:dyDescent="0.2">
      <c r="A10" s="24" t="s">
        <v>504</v>
      </c>
      <c r="C10" t="s">
        <v>663</v>
      </c>
      <c r="E10" s="23">
        <v>2427</v>
      </c>
      <c r="G10" s="23">
        <v>47154</v>
      </c>
      <c r="H10" s="23"/>
      <c r="I10" s="23">
        <v>47154</v>
      </c>
    </row>
    <row r="11" spans="1:9" x14ac:dyDescent="0.2">
      <c r="E11" s="23"/>
      <c r="G11" s="23"/>
      <c r="H11" s="23"/>
      <c r="I11" s="23"/>
    </row>
    <row r="12" spans="1:9" x14ac:dyDescent="0.2">
      <c r="A12" s="24" t="s">
        <v>504</v>
      </c>
      <c r="E12" s="23"/>
      <c r="G12" s="23">
        <v>30743</v>
      </c>
      <c r="H12" s="23"/>
      <c r="I12" s="39">
        <f>G12*103%</f>
        <v>31665.29</v>
      </c>
    </row>
    <row r="13" spans="1:9" x14ac:dyDescent="0.2">
      <c r="E13" s="23"/>
      <c r="G13" s="23"/>
      <c r="H13" s="23"/>
      <c r="I13" s="23"/>
    </row>
    <row r="14" spans="1:9" x14ac:dyDescent="0.2">
      <c r="A14" s="24" t="s">
        <v>504</v>
      </c>
      <c r="E14" s="23"/>
      <c r="G14" s="23"/>
      <c r="H14" s="23"/>
      <c r="I14" s="23">
        <v>31200</v>
      </c>
    </row>
    <row r="16" spans="1:9" x14ac:dyDescent="0.2">
      <c r="A16" t="s">
        <v>359</v>
      </c>
      <c r="E16" s="23"/>
      <c r="G16" s="23">
        <v>20000</v>
      </c>
      <c r="H16" s="23"/>
      <c r="I16" s="23">
        <v>20000</v>
      </c>
    </row>
    <row r="17" spans="1:9" x14ac:dyDescent="0.2">
      <c r="E17" s="23"/>
      <c r="G17" s="23"/>
      <c r="H17" s="23"/>
      <c r="I17" s="23"/>
    </row>
    <row r="18" spans="1:9" x14ac:dyDescent="0.2">
      <c r="A18" t="s">
        <v>336</v>
      </c>
      <c r="E18" s="23"/>
      <c r="G18" s="23">
        <f>SUM(G8:G16)</f>
        <v>150937</v>
      </c>
      <c r="H18" s="23"/>
      <c r="I18" s="23">
        <f>SUM(I8:I16)</f>
        <v>184650.49000000002</v>
      </c>
    </row>
    <row r="19" spans="1:9" x14ac:dyDescent="0.2">
      <c r="E19" s="23"/>
      <c r="G19" s="23"/>
      <c r="H19" s="23"/>
      <c r="I19" s="23"/>
    </row>
    <row r="20" spans="1:9" x14ac:dyDescent="0.2">
      <c r="G20" s="23"/>
      <c r="H20" s="23"/>
      <c r="I20" s="23"/>
    </row>
    <row r="21" spans="1:9" x14ac:dyDescent="0.2">
      <c r="I21" s="23"/>
    </row>
    <row r="22" spans="1:9" x14ac:dyDescent="0.2">
      <c r="I22" s="2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G97"/>
  <sheetViews>
    <sheetView topLeftCell="A75" zoomScaleNormal="100" workbookViewId="0">
      <selection activeCell="G87" sqref="G87"/>
    </sheetView>
  </sheetViews>
  <sheetFormatPr defaultRowHeight="12.75" x14ac:dyDescent="0.2"/>
  <cols>
    <col min="3" max="3" width="50.7109375" customWidth="1"/>
    <col min="4" max="4" width="3.7109375" customWidth="1"/>
    <col min="5" max="5" width="10.140625" bestFit="1" customWidth="1"/>
    <col min="6" max="6" width="10.28515625" customWidth="1"/>
    <col min="7" max="7" width="10.140625" bestFit="1" customWidth="1"/>
  </cols>
  <sheetData>
    <row r="2" spans="1:7" x14ac:dyDescent="0.2">
      <c r="A2" s="7" t="s">
        <v>303</v>
      </c>
      <c r="B2" s="7"/>
      <c r="C2" s="7"/>
      <c r="D2" s="7"/>
      <c r="E2" s="7"/>
      <c r="G2" s="7"/>
    </row>
    <row r="3" spans="1:7" x14ac:dyDescent="0.2">
      <c r="A3" s="7"/>
      <c r="B3" s="7"/>
      <c r="C3" s="7"/>
      <c r="D3" s="7"/>
      <c r="E3" s="7"/>
      <c r="G3" s="7"/>
    </row>
    <row r="4" spans="1:7" x14ac:dyDescent="0.2">
      <c r="A4" s="7" t="s">
        <v>304</v>
      </c>
      <c r="B4" s="7"/>
      <c r="C4" s="7" t="s">
        <v>351</v>
      </c>
      <c r="D4" s="7"/>
      <c r="E4" s="7"/>
      <c r="G4" s="7"/>
    </row>
    <row r="5" spans="1:7" x14ac:dyDescent="0.2">
      <c r="A5" s="7" t="s">
        <v>306</v>
      </c>
      <c r="B5" s="7"/>
      <c r="C5" s="7" t="s">
        <v>352</v>
      </c>
      <c r="D5" s="7"/>
    </row>
    <row r="6" spans="1:7" x14ac:dyDescent="0.2">
      <c r="A6" s="7"/>
      <c r="B6" s="7"/>
      <c r="C6" s="7"/>
      <c r="D6" s="7"/>
      <c r="E6" s="24" t="s">
        <v>658</v>
      </c>
      <c r="G6" s="24" t="s">
        <v>805</v>
      </c>
    </row>
    <row r="7" spans="1:7" x14ac:dyDescent="0.2">
      <c r="A7" s="8" t="s">
        <v>308</v>
      </c>
      <c r="B7" s="7"/>
      <c r="C7" s="9" t="s">
        <v>309</v>
      </c>
      <c r="D7" s="7"/>
      <c r="E7" s="9" t="s">
        <v>310</v>
      </c>
      <c r="G7" s="9" t="s">
        <v>781</v>
      </c>
    </row>
    <row r="9" spans="1:7" ht="14.25" x14ac:dyDescent="0.2">
      <c r="A9" s="19">
        <v>510.03</v>
      </c>
      <c r="B9" s="19"/>
      <c r="C9" s="19" t="s">
        <v>314</v>
      </c>
      <c r="D9" s="19"/>
      <c r="E9" s="27">
        <v>1000</v>
      </c>
      <c r="G9" s="27"/>
    </row>
    <row r="10" spans="1:7" ht="14.25" x14ac:dyDescent="0.2">
      <c r="A10" s="19"/>
      <c r="B10" s="19"/>
      <c r="C10" s="19" t="s">
        <v>505</v>
      </c>
      <c r="D10" s="19"/>
      <c r="E10" s="33">
        <v>14000</v>
      </c>
      <c r="G10" s="33"/>
    </row>
    <row r="11" spans="1:7" ht="14.25" x14ac:dyDescent="0.2">
      <c r="A11" s="19"/>
      <c r="B11" s="19"/>
      <c r="C11" s="19" t="s">
        <v>12</v>
      </c>
      <c r="D11" s="19"/>
      <c r="E11" s="27">
        <f>SUM(E9:E10)</f>
        <v>15000</v>
      </c>
      <c r="G11" s="27">
        <v>5000</v>
      </c>
    </row>
    <row r="12" spans="1:7" ht="14.25" x14ac:dyDescent="0.2">
      <c r="A12" s="21">
        <v>510.05</v>
      </c>
      <c r="B12" s="19"/>
      <c r="C12" s="19" t="s">
        <v>582</v>
      </c>
      <c r="D12" s="19"/>
      <c r="E12" s="27">
        <f>2*7928</f>
        <v>15856</v>
      </c>
      <c r="G12" s="27"/>
    </row>
    <row r="13" spans="1:7" ht="14.25" x14ac:dyDescent="0.2">
      <c r="A13" s="21"/>
      <c r="B13" s="19"/>
      <c r="C13" s="19" t="s">
        <v>400</v>
      </c>
      <c r="D13" s="19"/>
      <c r="E13" s="27">
        <f>2*24*12</f>
        <v>576</v>
      </c>
      <c r="G13" s="27"/>
    </row>
    <row r="14" spans="1:7" ht="14.25" x14ac:dyDescent="0.2">
      <c r="A14" s="21"/>
      <c r="B14" s="19"/>
      <c r="C14" s="19" t="s">
        <v>423</v>
      </c>
      <c r="D14" s="19"/>
      <c r="E14" s="27">
        <f>+'Personnel Sched-RO'!I14*0.00515</f>
        <v>160.68</v>
      </c>
      <c r="G14" s="27"/>
    </row>
    <row r="15" spans="1:7" ht="14.25" x14ac:dyDescent="0.2">
      <c r="A15" s="21"/>
      <c r="B15" s="19"/>
      <c r="C15" s="19" t="s">
        <v>401</v>
      </c>
      <c r="D15" s="19"/>
      <c r="E15" s="27">
        <f>2*12*3</f>
        <v>72</v>
      </c>
      <c r="G15" s="27"/>
    </row>
    <row r="16" spans="1:7" ht="14.25" x14ac:dyDescent="0.2">
      <c r="A16" s="21"/>
      <c r="B16" s="19"/>
      <c r="C16" s="19" t="s">
        <v>402</v>
      </c>
      <c r="D16" s="19"/>
      <c r="E16" s="33">
        <f>2*55</f>
        <v>110</v>
      </c>
      <c r="G16" s="33"/>
    </row>
    <row r="17" spans="1:7" ht="14.25" x14ac:dyDescent="0.2">
      <c r="A17" s="21"/>
      <c r="B17" s="19"/>
      <c r="C17" s="19" t="s">
        <v>313</v>
      </c>
      <c r="D17" s="19"/>
      <c r="E17" s="27">
        <f>SUM(E12:E16)</f>
        <v>16774.68</v>
      </c>
      <c r="G17" s="27"/>
    </row>
    <row r="18" spans="1:7" ht="14.25" x14ac:dyDescent="0.2">
      <c r="A18" s="21">
        <v>510.06</v>
      </c>
      <c r="B18" s="19"/>
      <c r="C18" s="19" t="s">
        <v>317</v>
      </c>
      <c r="D18" s="19"/>
      <c r="E18" s="27">
        <f>+'Personnel Sched-RO'!I14*0.0765</f>
        <v>2386.8000000000002</v>
      </c>
      <c r="G18" s="27"/>
    </row>
    <row r="19" spans="1:7" ht="14.25" x14ac:dyDescent="0.2">
      <c r="A19" s="21">
        <v>510.07</v>
      </c>
      <c r="B19" s="19"/>
      <c r="C19" s="19" t="s">
        <v>782</v>
      </c>
      <c r="D19" s="19"/>
      <c r="E19" s="27">
        <f>+'Personnel Sched-RO'!I14*0.0464</f>
        <v>1447.6799999999998</v>
      </c>
      <c r="G19" s="27"/>
    </row>
    <row r="20" spans="1:7" ht="14.25" x14ac:dyDescent="0.2">
      <c r="A20" s="21">
        <v>510.08</v>
      </c>
      <c r="B20" s="19"/>
      <c r="C20" s="19" t="s">
        <v>606</v>
      </c>
      <c r="D20" s="19"/>
      <c r="E20" s="27">
        <f>('Personnel Sched-RO'!I14*1.03)*0.0301</f>
        <v>967.29359999999997</v>
      </c>
      <c r="G20" s="27"/>
    </row>
    <row r="21" spans="1:7" ht="14.25" x14ac:dyDescent="0.2">
      <c r="A21" s="21">
        <v>510.09</v>
      </c>
      <c r="B21" s="19"/>
      <c r="C21" s="19" t="s">
        <v>541</v>
      </c>
      <c r="D21" s="19"/>
      <c r="E21" s="27">
        <f>+'Personnel Sched-RO'!I14*0.03</f>
        <v>936</v>
      </c>
      <c r="G21" s="27"/>
    </row>
    <row r="22" spans="1:7" ht="14.25" x14ac:dyDescent="0.2">
      <c r="A22" s="21">
        <v>510.12</v>
      </c>
      <c r="B22" s="19"/>
      <c r="C22" s="19" t="s">
        <v>542</v>
      </c>
      <c r="D22" s="19"/>
      <c r="E22" s="26">
        <f>600+(150*2)</f>
        <v>900</v>
      </c>
      <c r="G22" s="26"/>
    </row>
    <row r="24" spans="1:7" ht="14.25" x14ac:dyDescent="0.2">
      <c r="A24" s="21">
        <v>520.01</v>
      </c>
      <c r="C24" s="19" t="s">
        <v>133</v>
      </c>
      <c r="G24" s="27">
        <v>1700</v>
      </c>
    </row>
    <row r="25" spans="1:7" ht="14.25" x14ac:dyDescent="0.2">
      <c r="A25" s="21">
        <v>520.03</v>
      </c>
      <c r="C25" s="19" t="s">
        <v>672</v>
      </c>
      <c r="G25" s="27">
        <v>200</v>
      </c>
    </row>
    <row r="26" spans="1:7" ht="14.25" x14ac:dyDescent="0.2">
      <c r="A26" s="26">
        <v>520.04</v>
      </c>
      <c r="C26" s="26" t="s">
        <v>556</v>
      </c>
      <c r="E26" s="27">
        <f>2*1000</f>
        <v>2000</v>
      </c>
      <c r="G26" s="27"/>
    </row>
    <row r="27" spans="1:7" ht="14.25" x14ac:dyDescent="0.2">
      <c r="A27" s="26"/>
      <c r="C27" s="19" t="s">
        <v>476</v>
      </c>
      <c r="E27" s="32">
        <v>400</v>
      </c>
      <c r="G27" s="32"/>
    </row>
    <row r="28" spans="1:7" ht="14.25" x14ac:dyDescent="0.2">
      <c r="A28" s="26"/>
      <c r="C28" s="19" t="s">
        <v>12</v>
      </c>
      <c r="E28" s="27">
        <f>SUM(E26:E27)</f>
        <v>2400</v>
      </c>
      <c r="G28" s="27">
        <v>4000</v>
      </c>
    </row>
    <row r="29" spans="1:7" ht="14.25" x14ac:dyDescent="0.2">
      <c r="A29" s="26">
        <v>520.05999999999995</v>
      </c>
      <c r="C29" s="19" t="s">
        <v>199</v>
      </c>
      <c r="E29" s="27">
        <v>3000</v>
      </c>
      <c r="G29" s="27">
        <v>5000</v>
      </c>
    </row>
    <row r="30" spans="1:7" ht="14.25" x14ac:dyDescent="0.2">
      <c r="A30" s="26">
        <v>520.07000000000005</v>
      </c>
      <c r="C30" s="19" t="s">
        <v>192</v>
      </c>
      <c r="E30" s="27">
        <v>1000</v>
      </c>
      <c r="G30" s="27">
        <v>3000</v>
      </c>
    </row>
    <row r="31" spans="1:7" ht="14.25" x14ac:dyDescent="0.2">
      <c r="A31" s="26">
        <v>520.08000000000004</v>
      </c>
      <c r="C31" s="19" t="s">
        <v>435</v>
      </c>
      <c r="E31" s="27">
        <v>400</v>
      </c>
      <c r="G31" s="27">
        <v>600</v>
      </c>
    </row>
    <row r="32" spans="1:7" ht="14.25" x14ac:dyDescent="0.2">
      <c r="A32" s="26">
        <v>520.09</v>
      </c>
      <c r="C32" s="26" t="s">
        <v>607</v>
      </c>
      <c r="E32" s="27">
        <v>15000</v>
      </c>
      <c r="G32" s="27"/>
    </row>
    <row r="33" spans="1:7" ht="14.25" x14ac:dyDescent="0.2">
      <c r="A33" s="26"/>
      <c r="C33" s="26" t="s">
        <v>477</v>
      </c>
      <c r="E33" s="27">
        <v>45000</v>
      </c>
      <c r="G33" s="27"/>
    </row>
    <row r="34" spans="1:7" ht="14.25" x14ac:dyDescent="0.2">
      <c r="A34" s="26"/>
      <c r="C34" s="26" t="s">
        <v>478</v>
      </c>
      <c r="E34" s="27">
        <v>12000</v>
      </c>
      <c r="G34" s="27"/>
    </row>
    <row r="35" spans="1:7" ht="14.25" x14ac:dyDescent="0.2">
      <c r="A35" s="26"/>
      <c r="C35" s="26" t="s">
        <v>479</v>
      </c>
      <c r="E35" s="33">
        <v>17000</v>
      </c>
      <c r="G35" s="33"/>
    </row>
    <row r="36" spans="1:7" ht="14.25" x14ac:dyDescent="0.2">
      <c r="A36" s="26"/>
      <c r="C36" s="26" t="s">
        <v>553</v>
      </c>
      <c r="E36" s="27">
        <f>SUM(E32:E35)</f>
        <v>89000</v>
      </c>
      <c r="G36" s="27">
        <v>98000</v>
      </c>
    </row>
    <row r="37" spans="1:7" ht="14.25" x14ac:dyDescent="0.2">
      <c r="A37" s="29">
        <v>520.1</v>
      </c>
      <c r="C37" s="26" t="s">
        <v>673</v>
      </c>
      <c r="E37" s="27"/>
      <c r="G37" s="27">
        <v>6000</v>
      </c>
    </row>
    <row r="38" spans="1:7" ht="14.25" x14ac:dyDescent="0.2">
      <c r="A38" s="29">
        <v>520.11</v>
      </c>
      <c r="C38" s="26" t="s">
        <v>721</v>
      </c>
      <c r="E38" s="27"/>
      <c r="G38" s="27">
        <v>500</v>
      </c>
    </row>
    <row r="39" spans="1:7" ht="14.25" x14ac:dyDescent="0.2">
      <c r="A39" s="26"/>
      <c r="C39" s="26"/>
      <c r="E39" s="27"/>
      <c r="G39" s="27"/>
    </row>
    <row r="40" spans="1:7" ht="14.25" x14ac:dyDescent="0.2">
      <c r="A40" s="26">
        <v>530.01</v>
      </c>
      <c r="C40" s="26" t="s">
        <v>480</v>
      </c>
      <c r="E40" s="27">
        <v>3000</v>
      </c>
      <c r="G40" s="27"/>
    </row>
    <row r="41" spans="1:7" ht="14.25" x14ac:dyDescent="0.2">
      <c r="A41" s="26"/>
      <c r="C41" s="26" t="s">
        <v>481</v>
      </c>
      <c r="E41" s="33">
        <v>500</v>
      </c>
      <c r="G41" s="33"/>
    </row>
    <row r="42" spans="1:7" ht="14.25" x14ac:dyDescent="0.2">
      <c r="A42" s="26"/>
      <c r="C42" s="26" t="s">
        <v>12</v>
      </c>
      <c r="E42" s="27">
        <f>SUM(E40:E41)</f>
        <v>3500</v>
      </c>
      <c r="G42" s="27">
        <v>5000</v>
      </c>
    </row>
    <row r="43" spans="1:7" ht="14.25" x14ac:dyDescent="0.2">
      <c r="A43" s="26">
        <v>530.02</v>
      </c>
      <c r="C43" s="26" t="s">
        <v>482</v>
      </c>
      <c r="E43" s="27">
        <v>1200</v>
      </c>
      <c r="G43" s="27"/>
    </row>
    <row r="44" spans="1:7" ht="14.25" x14ac:dyDescent="0.2">
      <c r="A44" s="26"/>
      <c r="C44" s="26" t="s">
        <v>483</v>
      </c>
      <c r="E44" s="33">
        <v>20800</v>
      </c>
      <c r="G44" s="33"/>
    </row>
    <row r="45" spans="1:7" ht="14.25" x14ac:dyDescent="0.2">
      <c r="A45" s="26"/>
      <c r="C45" s="26" t="s">
        <v>12</v>
      </c>
      <c r="E45" s="27">
        <f>SUM(E43:E44)</f>
        <v>22000</v>
      </c>
      <c r="G45" s="27">
        <v>22000</v>
      </c>
    </row>
    <row r="46" spans="1:7" ht="14.25" x14ac:dyDescent="0.2">
      <c r="A46" s="26">
        <v>530.04</v>
      </c>
      <c r="C46" s="26" t="s">
        <v>484</v>
      </c>
      <c r="E46" s="27">
        <v>12000</v>
      </c>
      <c r="G46" s="27">
        <v>12000</v>
      </c>
    </row>
    <row r="47" spans="1:7" ht="14.25" x14ac:dyDescent="0.2">
      <c r="A47" s="26">
        <v>530.04999999999995</v>
      </c>
      <c r="C47" s="26" t="s">
        <v>18</v>
      </c>
      <c r="E47" s="27"/>
      <c r="G47" s="27">
        <v>150</v>
      </c>
    </row>
    <row r="48" spans="1:7" ht="14.25" x14ac:dyDescent="0.2">
      <c r="A48" s="26">
        <v>530.05999999999995</v>
      </c>
      <c r="C48" s="26" t="s">
        <v>887</v>
      </c>
      <c r="E48" s="27"/>
      <c r="G48" s="27">
        <v>1000</v>
      </c>
    </row>
    <row r="49" spans="1:7" ht="14.25" x14ac:dyDescent="0.2">
      <c r="A49" s="26">
        <v>530.11</v>
      </c>
      <c r="C49" s="26" t="s">
        <v>608</v>
      </c>
      <c r="E49" s="27">
        <v>228000</v>
      </c>
      <c r="G49" s="27"/>
    </row>
    <row r="50" spans="1:7" ht="14.25" x14ac:dyDescent="0.2">
      <c r="A50" s="26"/>
      <c r="C50" s="26" t="s">
        <v>609</v>
      </c>
      <c r="E50" s="27">
        <f>40000+45000+55000</f>
        <v>140000</v>
      </c>
      <c r="G50" s="27"/>
    </row>
    <row r="51" spans="1:7" ht="14.25" x14ac:dyDescent="0.2">
      <c r="A51" s="26"/>
      <c r="C51" s="26" t="s">
        <v>659</v>
      </c>
      <c r="E51" s="55">
        <v>32000</v>
      </c>
      <c r="G51" s="55"/>
    </row>
    <row r="52" spans="1:7" ht="14.25" x14ac:dyDescent="0.2">
      <c r="C52" s="26" t="s">
        <v>12</v>
      </c>
      <c r="E52" s="27">
        <f>SUM(E49:E51)</f>
        <v>400000</v>
      </c>
      <c r="G52" s="27">
        <v>400000</v>
      </c>
    </row>
    <row r="53" spans="1:7" ht="14.25" x14ac:dyDescent="0.2">
      <c r="A53" s="26">
        <v>530.13</v>
      </c>
      <c r="C53" s="26" t="s">
        <v>260</v>
      </c>
      <c r="E53" s="27"/>
      <c r="G53" s="27">
        <v>30000</v>
      </c>
    </row>
    <row r="54" spans="1:7" ht="14.25" x14ac:dyDescent="0.2">
      <c r="A54" s="21">
        <v>530.20000000000005</v>
      </c>
      <c r="B54" s="19"/>
      <c r="C54" s="19" t="s">
        <v>407</v>
      </c>
      <c r="D54" s="19"/>
      <c r="E54" s="20">
        <v>7000</v>
      </c>
      <c r="G54" s="20">
        <v>12000</v>
      </c>
    </row>
    <row r="55" spans="1:7" ht="14.25" x14ac:dyDescent="0.2">
      <c r="A55" s="21"/>
      <c r="B55" s="19"/>
      <c r="C55" s="19"/>
      <c r="D55" s="19"/>
      <c r="E55" s="20"/>
      <c r="G55" s="20"/>
    </row>
    <row r="56" spans="1:7" ht="14.25" x14ac:dyDescent="0.2">
      <c r="A56" s="21">
        <v>540.01</v>
      </c>
      <c r="B56" s="19"/>
      <c r="C56" s="19" t="s">
        <v>321</v>
      </c>
      <c r="D56" s="19"/>
      <c r="E56" s="20">
        <v>5000</v>
      </c>
      <c r="G56" s="20">
        <v>5000</v>
      </c>
    </row>
    <row r="57" spans="1:7" ht="14.25" x14ac:dyDescent="0.2">
      <c r="A57" s="21">
        <v>540.04</v>
      </c>
      <c r="B57" s="19"/>
      <c r="C57" s="19" t="s">
        <v>445</v>
      </c>
      <c r="D57" s="19"/>
      <c r="E57" s="20">
        <v>50000</v>
      </c>
      <c r="G57" s="20">
        <v>50000</v>
      </c>
    </row>
    <row r="58" spans="1:7" ht="14.25" x14ac:dyDescent="0.2">
      <c r="A58" s="21">
        <v>540.07000000000005</v>
      </c>
      <c r="B58" s="19"/>
      <c r="C58" s="19" t="s">
        <v>888</v>
      </c>
      <c r="D58" s="19"/>
      <c r="E58" s="20">
        <v>10000</v>
      </c>
      <c r="G58" s="20">
        <v>10000</v>
      </c>
    </row>
    <row r="59" spans="1:7" ht="14.25" x14ac:dyDescent="0.2">
      <c r="A59" s="21"/>
      <c r="B59" s="19"/>
      <c r="C59" s="19"/>
      <c r="D59" s="19"/>
      <c r="E59" s="20"/>
      <c r="G59" s="20"/>
    </row>
    <row r="60" spans="1:7" ht="14.25" x14ac:dyDescent="0.2">
      <c r="A60" s="21">
        <v>550.01</v>
      </c>
      <c r="B60" s="19"/>
      <c r="C60" s="19" t="s">
        <v>173</v>
      </c>
      <c r="D60" s="19"/>
      <c r="E60" s="20"/>
      <c r="G60" s="20">
        <v>2000</v>
      </c>
    </row>
    <row r="61" spans="1:7" ht="14.25" x14ac:dyDescent="0.2">
      <c r="A61" s="21">
        <v>550.02</v>
      </c>
      <c r="B61" s="19"/>
      <c r="C61" s="19" t="s">
        <v>485</v>
      </c>
      <c r="D61" s="19"/>
      <c r="E61" s="41">
        <v>146000</v>
      </c>
      <c r="G61" s="41"/>
    </row>
    <row r="62" spans="1:7" ht="14.25" x14ac:dyDescent="0.2">
      <c r="A62" s="21"/>
      <c r="B62" s="19"/>
      <c r="C62" s="19" t="s">
        <v>486</v>
      </c>
      <c r="D62" s="19"/>
      <c r="E62" s="20">
        <v>71150</v>
      </c>
      <c r="G62" s="20"/>
    </row>
    <row r="63" spans="1:7" ht="14.25" x14ac:dyDescent="0.2">
      <c r="A63" s="21"/>
      <c r="B63" s="19"/>
      <c r="C63" s="19" t="s">
        <v>487</v>
      </c>
      <c r="D63" s="19"/>
      <c r="E63" s="20">
        <v>0</v>
      </c>
      <c r="G63" s="20"/>
    </row>
    <row r="64" spans="1:7" ht="14.25" x14ac:dyDescent="0.2">
      <c r="A64" s="21"/>
      <c r="B64" s="19"/>
      <c r="C64" s="19" t="s">
        <v>488</v>
      </c>
      <c r="D64" s="19"/>
      <c r="E64" s="22">
        <v>32850</v>
      </c>
      <c r="G64" s="22"/>
    </row>
    <row r="65" spans="1:7" ht="14.25" x14ac:dyDescent="0.2">
      <c r="A65" s="21"/>
      <c r="B65" s="19"/>
      <c r="C65" s="19" t="s">
        <v>12</v>
      </c>
      <c r="D65" s="19"/>
      <c r="E65" s="20">
        <f>SUM(E61:E64)</f>
        <v>250000</v>
      </c>
      <c r="G65" s="20">
        <v>240000</v>
      </c>
    </row>
    <row r="66" spans="1:7" ht="14.25" x14ac:dyDescent="0.2">
      <c r="A66" s="21">
        <v>550.04</v>
      </c>
      <c r="B66" s="19"/>
      <c r="C66" s="19" t="s">
        <v>824</v>
      </c>
      <c r="D66" s="19"/>
      <c r="E66" s="20"/>
      <c r="G66" s="20">
        <v>4500</v>
      </c>
    </row>
    <row r="67" spans="1:7" ht="14.25" x14ac:dyDescent="0.2">
      <c r="A67" s="21">
        <v>550.05999999999995</v>
      </c>
      <c r="B67" s="19"/>
      <c r="C67" s="19" t="s">
        <v>889</v>
      </c>
      <c r="D67" s="19"/>
      <c r="E67" s="20"/>
      <c r="G67" s="20">
        <v>1000</v>
      </c>
    </row>
    <row r="68" spans="1:7" ht="14.25" x14ac:dyDescent="0.2">
      <c r="A68" s="21">
        <v>550.09</v>
      </c>
      <c r="B68" s="19"/>
      <c r="C68" s="19" t="s">
        <v>622</v>
      </c>
      <c r="D68" s="19"/>
      <c r="E68" s="41">
        <v>0</v>
      </c>
      <c r="G68" s="41">
        <v>200000</v>
      </c>
    </row>
    <row r="69" spans="1:7" ht="14.25" x14ac:dyDescent="0.2">
      <c r="A69" s="21"/>
      <c r="B69" s="19"/>
      <c r="C69" s="19"/>
      <c r="D69" s="19"/>
      <c r="E69" s="20"/>
      <c r="G69" s="20"/>
    </row>
    <row r="70" spans="1:7" ht="14.25" x14ac:dyDescent="0.2">
      <c r="A70" s="21">
        <v>560.02</v>
      </c>
      <c r="B70" s="19"/>
      <c r="C70" s="19" t="s">
        <v>489</v>
      </c>
      <c r="D70" s="19"/>
      <c r="E70" s="20">
        <v>250</v>
      </c>
      <c r="G70" s="20"/>
    </row>
    <row r="71" spans="1:7" ht="14.25" x14ac:dyDescent="0.2">
      <c r="A71" s="21"/>
      <c r="B71" s="19"/>
      <c r="C71" s="19" t="s">
        <v>490</v>
      </c>
      <c r="D71" s="19"/>
      <c r="E71" s="22">
        <v>250</v>
      </c>
      <c r="G71" s="22"/>
    </row>
    <row r="72" spans="1:7" ht="14.25" x14ac:dyDescent="0.2">
      <c r="A72" s="21"/>
      <c r="B72" s="19"/>
      <c r="C72" s="19" t="s">
        <v>12</v>
      </c>
      <c r="D72" s="19"/>
      <c r="E72" s="20">
        <f>SUM(E70:E71)</f>
        <v>500</v>
      </c>
      <c r="G72" s="20">
        <v>500</v>
      </c>
    </row>
    <row r="73" spans="1:7" ht="14.25" x14ac:dyDescent="0.2">
      <c r="A73" s="21">
        <v>560.09</v>
      </c>
      <c r="B73" s="19"/>
      <c r="C73" s="19" t="s">
        <v>408</v>
      </c>
      <c r="D73" s="19"/>
      <c r="E73" s="20"/>
      <c r="G73" s="20">
        <v>280</v>
      </c>
    </row>
    <row r="74" spans="1:7" ht="14.25" x14ac:dyDescent="0.2">
      <c r="A74" s="21">
        <v>560.1</v>
      </c>
      <c r="B74" s="19"/>
      <c r="C74" s="19" t="s">
        <v>491</v>
      </c>
      <c r="D74" s="19"/>
      <c r="E74" s="20">
        <v>2000</v>
      </c>
      <c r="G74" s="20">
        <v>3000</v>
      </c>
    </row>
    <row r="75" spans="1:7" ht="14.25" x14ac:dyDescent="0.2">
      <c r="A75" s="21"/>
      <c r="B75" s="19"/>
      <c r="C75" s="19"/>
      <c r="D75" s="19"/>
      <c r="E75" s="20"/>
      <c r="G75" s="20"/>
    </row>
    <row r="76" spans="1:7" ht="14.25" x14ac:dyDescent="0.2">
      <c r="A76" s="21">
        <v>580.01</v>
      </c>
      <c r="B76" s="19"/>
      <c r="C76" s="19" t="s">
        <v>625</v>
      </c>
      <c r="D76" s="19"/>
      <c r="E76" s="20">
        <v>10000</v>
      </c>
      <c r="G76" s="20">
        <v>10000</v>
      </c>
    </row>
    <row r="77" spans="1:7" ht="14.25" x14ac:dyDescent="0.2">
      <c r="A77" s="21"/>
      <c r="B77" s="19"/>
      <c r="C77" s="19" t="s">
        <v>626</v>
      </c>
      <c r="D77" s="19"/>
      <c r="E77" s="20"/>
      <c r="G77" s="20"/>
    </row>
    <row r="78" spans="1:7" ht="14.25" x14ac:dyDescent="0.2">
      <c r="A78" s="21"/>
      <c r="B78" s="19"/>
      <c r="C78" s="19" t="s">
        <v>627</v>
      </c>
      <c r="D78" s="19"/>
      <c r="E78" s="20"/>
      <c r="G78" s="20"/>
    </row>
    <row r="79" spans="1:7" ht="14.25" x14ac:dyDescent="0.2">
      <c r="A79" s="21"/>
      <c r="B79" s="19"/>
      <c r="C79" s="19"/>
      <c r="D79" s="19"/>
      <c r="E79" s="20"/>
      <c r="G79" s="20"/>
    </row>
    <row r="80" spans="1:7" ht="14.25" x14ac:dyDescent="0.2">
      <c r="A80" s="21">
        <v>590.01</v>
      </c>
      <c r="B80" s="19"/>
      <c r="C80" s="19" t="s">
        <v>492</v>
      </c>
      <c r="D80" s="19"/>
      <c r="E80" s="20">
        <v>2000</v>
      </c>
      <c r="G80" s="20">
        <v>2000</v>
      </c>
    </row>
    <row r="81" spans="1:7" ht="14.25" x14ac:dyDescent="0.2">
      <c r="A81" s="21">
        <v>590.02</v>
      </c>
      <c r="B81" s="19"/>
      <c r="C81" s="19" t="s">
        <v>174</v>
      </c>
      <c r="D81" s="19"/>
      <c r="E81" s="20">
        <v>2000</v>
      </c>
      <c r="G81" s="20">
        <v>3000</v>
      </c>
    </row>
    <row r="82" spans="1:7" s="76" customFormat="1" ht="14.25" x14ac:dyDescent="0.2">
      <c r="A82" s="48">
        <v>590.04</v>
      </c>
      <c r="B82" s="46"/>
      <c r="C82" s="46" t="s">
        <v>610</v>
      </c>
      <c r="D82" s="46"/>
      <c r="E82" s="41">
        <v>7500</v>
      </c>
      <c r="G82" s="41">
        <v>25000</v>
      </c>
    </row>
    <row r="83" spans="1:7" s="76" customFormat="1" ht="14.25" x14ac:dyDescent="0.2">
      <c r="A83" s="48">
        <v>590.05999999999995</v>
      </c>
      <c r="B83" s="46"/>
      <c r="C83" s="46" t="s">
        <v>195</v>
      </c>
      <c r="D83" s="46"/>
      <c r="E83" s="41"/>
      <c r="G83" s="41">
        <v>2000</v>
      </c>
    </row>
    <row r="84" spans="1:7" s="76" customFormat="1" ht="14.25" x14ac:dyDescent="0.2">
      <c r="A84" s="48"/>
      <c r="B84" s="46"/>
      <c r="C84" s="46"/>
      <c r="D84" s="46"/>
      <c r="E84" s="41"/>
      <c r="G84" s="41"/>
    </row>
    <row r="85" spans="1:7" ht="14.25" x14ac:dyDescent="0.2">
      <c r="A85" s="21">
        <v>610.11</v>
      </c>
      <c r="B85" s="19"/>
      <c r="C85" s="19" t="s">
        <v>890</v>
      </c>
      <c r="D85" s="19"/>
      <c r="E85" s="20"/>
      <c r="G85" s="20">
        <v>700000</v>
      </c>
    </row>
    <row r="86" spans="1:7" ht="14.25" x14ac:dyDescent="0.2">
      <c r="A86" s="21">
        <v>620.04999999999995</v>
      </c>
      <c r="B86" s="19"/>
      <c r="C86" s="19" t="s">
        <v>406</v>
      </c>
      <c r="D86" s="19"/>
      <c r="E86" s="20">
        <v>300000</v>
      </c>
      <c r="G86" s="20">
        <v>287500</v>
      </c>
    </row>
    <row r="87" spans="1:7" ht="14.25" x14ac:dyDescent="0.2">
      <c r="A87" s="21"/>
      <c r="B87" s="19"/>
      <c r="C87" s="19"/>
      <c r="D87" s="19"/>
      <c r="E87" s="20"/>
      <c r="G87" s="20"/>
    </row>
    <row r="89" spans="1:7" ht="14.25" x14ac:dyDescent="0.2">
      <c r="A89" s="47" t="s">
        <v>493</v>
      </c>
      <c r="B89" s="46"/>
      <c r="C89" s="46"/>
      <c r="D89" s="46"/>
      <c r="E89" s="41"/>
      <c r="G89" s="41"/>
    </row>
    <row r="90" spans="1:7" ht="14.25" x14ac:dyDescent="0.2">
      <c r="A90" s="48"/>
      <c r="B90" s="46"/>
      <c r="C90" s="46"/>
      <c r="D90" s="46"/>
      <c r="E90" s="41"/>
      <c r="G90" s="41"/>
    </row>
    <row r="91" spans="1:7" ht="14.25" x14ac:dyDescent="0.2">
      <c r="A91" s="48"/>
      <c r="B91" s="46" t="s">
        <v>494</v>
      </c>
      <c r="C91" s="46"/>
      <c r="D91" s="46"/>
      <c r="E91" s="41"/>
      <c r="G91" s="41"/>
    </row>
    <row r="92" spans="1:7" ht="14.25" x14ac:dyDescent="0.2">
      <c r="A92" s="48"/>
      <c r="B92" s="46"/>
      <c r="C92" s="46"/>
      <c r="D92" s="46"/>
      <c r="E92" s="41"/>
      <c r="G92" s="41"/>
    </row>
    <row r="93" spans="1:7" ht="14.25" x14ac:dyDescent="0.2">
      <c r="A93" s="48"/>
      <c r="B93" s="46" t="s">
        <v>495</v>
      </c>
      <c r="C93" s="46"/>
      <c r="D93" s="46"/>
      <c r="E93" s="41"/>
      <c r="G93" s="41"/>
    </row>
    <row r="94" spans="1:7" ht="14.25" x14ac:dyDescent="0.2">
      <c r="A94" s="48"/>
      <c r="B94" s="46" t="s">
        <v>496</v>
      </c>
      <c r="C94" s="46"/>
      <c r="D94" s="46"/>
      <c r="E94" s="41"/>
      <c r="G94" s="41"/>
    </row>
    <row r="95" spans="1:7" ht="14.25" x14ac:dyDescent="0.2">
      <c r="A95" s="48"/>
      <c r="B95" s="46"/>
      <c r="C95" s="46"/>
      <c r="D95" s="46"/>
      <c r="E95" s="41"/>
      <c r="G95" s="41"/>
    </row>
    <row r="96" spans="1:7" ht="14.25" x14ac:dyDescent="0.2">
      <c r="A96" s="48"/>
      <c r="B96" s="46"/>
      <c r="C96" s="46"/>
      <c r="D96" s="46"/>
      <c r="E96" s="41"/>
      <c r="G96" s="41"/>
    </row>
    <row r="97" spans="1:7" ht="14.25" x14ac:dyDescent="0.2">
      <c r="A97" s="21"/>
      <c r="B97" s="19"/>
      <c r="C97" s="19"/>
      <c r="D97" s="19"/>
      <c r="E97" s="20"/>
      <c r="G97" s="20"/>
    </row>
  </sheetData>
  <printOptions headings="1" gridLines="1"/>
  <pageMargins left="0.7" right="0" top="0.75" bottom="0.75" header="0.3" footer="0.3"/>
  <pageSetup scale="9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45"/>
  <sheetViews>
    <sheetView zoomScaleNormal="100" workbookViewId="0">
      <selection activeCell="A32" sqref="A32"/>
    </sheetView>
  </sheetViews>
  <sheetFormatPr defaultRowHeight="12.75" x14ac:dyDescent="0.2"/>
  <cols>
    <col min="4" max="4" width="9.140625" hidden="1" customWidth="1"/>
    <col min="5" max="5" width="9.140625" customWidth="1"/>
    <col min="8" max="8" width="12.28515625" customWidth="1"/>
  </cols>
  <sheetData>
    <row r="1" spans="1:9" x14ac:dyDescent="0.2">
      <c r="A1" t="s">
        <v>330</v>
      </c>
    </row>
    <row r="3" spans="1:9" x14ac:dyDescent="0.2">
      <c r="A3" t="s">
        <v>304</v>
      </c>
      <c r="B3" t="s">
        <v>349</v>
      </c>
    </row>
    <row r="4" spans="1:9" x14ac:dyDescent="0.2">
      <c r="A4" t="s">
        <v>306</v>
      </c>
      <c r="B4" s="24" t="s">
        <v>451</v>
      </c>
    </row>
    <row r="5" spans="1:9" x14ac:dyDescent="0.2">
      <c r="F5" s="25" t="s">
        <v>658</v>
      </c>
      <c r="G5" s="25"/>
      <c r="H5" s="64" t="s">
        <v>781</v>
      </c>
    </row>
    <row r="6" spans="1:9" x14ac:dyDescent="0.2">
      <c r="A6" s="15" t="s">
        <v>331</v>
      </c>
      <c r="F6" s="16" t="s">
        <v>333</v>
      </c>
      <c r="G6" s="16"/>
      <c r="H6" s="16" t="s">
        <v>333</v>
      </c>
      <c r="I6" s="68"/>
    </row>
    <row r="7" spans="1:9" x14ac:dyDescent="0.2">
      <c r="A7" s="24" t="s">
        <v>661</v>
      </c>
      <c r="F7" s="23"/>
      <c r="G7" s="23"/>
      <c r="H7" s="23">
        <v>48000</v>
      </c>
    </row>
    <row r="8" spans="1:9" x14ac:dyDescent="0.2">
      <c r="B8" s="69" t="s">
        <v>727</v>
      </c>
      <c r="C8" s="69"/>
      <c r="D8" s="69"/>
      <c r="E8" s="69"/>
      <c r="F8" s="69"/>
      <c r="G8" s="69"/>
    </row>
    <row r="10" spans="1:9" x14ac:dyDescent="0.2">
      <c r="A10" t="s">
        <v>455</v>
      </c>
      <c r="F10" s="23">
        <v>42848</v>
      </c>
      <c r="G10" s="23"/>
      <c r="H10" s="23">
        <f>F10*103%</f>
        <v>44133.440000000002</v>
      </c>
    </row>
    <row r="11" spans="1:9" x14ac:dyDescent="0.2">
      <c r="F11" s="23"/>
      <c r="G11" s="23"/>
      <c r="H11" s="23"/>
    </row>
    <row r="12" spans="1:9" x14ac:dyDescent="0.2">
      <c r="A12" t="s">
        <v>728</v>
      </c>
      <c r="F12" s="42">
        <v>33156</v>
      </c>
      <c r="G12" s="23"/>
      <c r="H12" s="23">
        <f>F12*103%</f>
        <v>34150.68</v>
      </c>
    </row>
    <row r="13" spans="1:9" x14ac:dyDescent="0.2">
      <c r="F13" s="23"/>
      <c r="G13" s="23"/>
      <c r="H13" s="23"/>
    </row>
    <row r="14" spans="1:9" x14ac:dyDescent="0.2">
      <c r="A14" t="s">
        <v>728</v>
      </c>
      <c r="D14" t="s">
        <v>729</v>
      </c>
      <c r="F14" s="23">
        <v>33218</v>
      </c>
      <c r="G14" s="23"/>
      <c r="H14" s="23">
        <f>F14*103%</f>
        <v>34214.54</v>
      </c>
    </row>
    <row r="15" spans="1:9" x14ac:dyDescent="0.2">
      <c r="F15" s="23"/>
      <c r="G15" s="23"/>
      <c r="H15" s="23"/>
    </row>
    <row r="16" spans="1:9" x14ac:dyDescent="0.2">
      <c r="A16" t="s">
        <v>728</v>
      </c>
      <c r="D16" t="s">
        <v>730</v>
      </c>
      <c r="F16" s="23">
        <v>33218</v>
      </c>
      <c r="G16" s="23"/>
      <c r="H16" s="23">
        <f>F16*103%</f>
        <v>34214.54</v>
      </c>
    </row>
    <row r="17" spans="1:8" x14ac:dyDescent="0.2">
      <c r="F17" s="23"/>
      <c r="G17" s="23"/>
      <c r="H17" s="23"/>
    </row>
    <row r="18" spans="1:8" x14ac:dyDescent="0.2">
      <c r="A18" t="s">
        <v>737</v>
      </c>
      <c r="D18" t="s">
        <v>731</v>
      </c>
      <c r="F18" s="23">
        <v>31096</v>
      </c>
      <c r="G18" s="23"/>
      <c r="H18" s="23">
        <f>F18*103%</f>
        <v>32028.880000000001</v>
      </c>
    </row>
    <row r="19" spans="1:8" x14ac:dyDescent="0.2">
      <c r="F19" s="23" t="s">
        <v>13</v>
      </c>
      <c r="G19" s="23"/>
      <c r="H19" s="23"/>
    </row>
    <row r="20" spans="1:8" x14ac:dyDescent="0.2">
      <c r="A20" t="s">
        <v>737</v>
      </c>
      <c r="D20" t="s">
        <v>732</v>
      </c>
      <c r="F20" s="23">
        <v>31200</v>
      </c>
      <c r="G20" s="23"/>
      <c r="H20" s="23">
        <f>F20*103%</f>
        <v>32136</v>
      </c>
    </row>
    <row r="21" spans="1:8" x14ac:dyDescent="0.2">
      <c r="F21" s="23"/>
      <c r="G21" s="23"/>
      <c r="H21" s="23"/>
    </row>
    <row r="22" spans="1:8" x14ac:dyDescent="0.2">
      <c r="A22" s="24" t="s">
        <v>737</v>
      </c>
      <c r="D22" t="s">
        <v>733</v>
      </c>
      <c r="F22" s="40">
        <v>34320</v>
      </c>
      <c r="G22" s="23"/>
      <c r="H22" s="23">
        <f>F22*103%</f>
        <v>35349.599999999999</v>
      </c>
    </row>
    <row r="23" spans="1:8" x14ac:dyDescent="0.2">
      <c r="F23" s="23"/>
      <c r="G23" s="23"/>
      <c r="H23" s="23"/>
    </row>
    <row r="24" spans="1:8" x14ac:dyDescent="0.2">
      <c r="A24" t="s">
        <v>738</v>
      </c>
      <c r="D24" t="s">
        <v>734</v>
      </c>
      <c r="F24" s="23">
        <v>29120</v>
      </c>
      <c r="G24" s="23"/>
      <c r="H24" s="23">
        <f>F24*103%</f>
        <v>29993.600000000002</v>
      </c>
    </row>
    <row r="25" spans="1:8" x14ac:dyDescent="0.2">
      <c r="F25" s="23"/>
      <c r="G25" s="23"/>
      <c r="H25" s="23"/>
    </row>
    <row r="26" spans="1:8" x14ac:dyDescent="0.2">
      <c r="A26" s="24" t="s">
        <v>738</v>
      </c>
      <c r="D26" t="s">
        <v>735</v>
      </c>
      <c r="F26" s="23">
        <v>29120</v>
      </c>
      <c r="G26" s="23"/>
      <c r="H26" s="23">
        <v>29120</v>
      </c>
    </row>
    <row r="27" spans="1:8" x14ac:dyDescent="0.2">
      <c r="F27" s="23"/>
      <c r="G27" s="23"/>
      <c r="H27" s="23"/>
    </row>
    <row r="28" spans="1:8" x14ac:dyDescent="0.2">
      <c r="A28" s="24" t="s">
        <v>738</v>
      </c>
      <c r="D28" t="s">
        <v>736</v>
      </c>
      <c r="F28" s="42">
        <v>29120</v>
      </c>
      <c r="G28" s="23"/>
      <c r="H28" s="23">
        <v>29120</v>
      </c>
    </row>
    <row r="29" spans="1:8" x14ac:dyDescent="0.2">
      <c r="F29" s="23"/>
      <c r="G29" s="23"/>
      <c r="H29" s="23"/>
    </row>
    <row r="30" spans="1:8" x14ac:dyDescent="0.2">
      <c r="A30" s="24" t="s">
        <v>737</v>
      </c>
      <c r="F30" s="23">
        <v>29120</v>
      </c>
      <c r="G30" s="23"/>
      <c r="H30" s="23">
        <v>29120</v>
      </c>
    </row>
    <row r="31" spans="1:8" x14ac:dyDescent="0.2">
      <c r="F31" s="23"/>
      <c r="G31" s="23"/>
      <c r="H31" s="23"/>
    </row>
    <row r="32" spans="1:8" x14ac:dyDescent="0.2">
      <c r="A32" s="24" t="s">
        <v>758</v>
      </c>
      <c r="F32" s="23">
        <v>29120</v>
      </c>
      <c r="G32" s="23"/>
      <c r="H32" s="23">
        <v>29120</v>
      </c>
    </row>
    <row r="33" spans="1:8" x14ac:dyDescent="0.2">
      <c r="F33" s="23"/>
      <c r="G33" s="23"/>
      <c r="H33" s="23"/>
    </row>
    <row r="34" spans="1:8" x14ac:dyDescent="0.2">
      <c r="F34" s="23"/>
      <c r="G34" s="23"/>
      <c r="H34" s="23"/>
    </row>
    <row r="35" spans="1:8" x14ac:dyDescent="0.2">
      <c r="F35" s="23"/>
      <c r="G35" s="23"/>
      <c r="H35" s="23"/>
    </row>
    <row r="36" spans="1:8" x14ac:dyDescent="0.2">
      <c r="A36" t="s">
        <v>359</v>
      </c>
      <c r="F36" s="42">
        <v>52000</v>
      </c>
      <c r="G36" s="23"/>
      <c r="H36" s="42">
        <v>60000</v>
      </c>
    </row>
    <row r="37" spans="1:8" x14ac:dyDescent="0.2">
      <c r="F37" s="23"/>
      <c r="G37" s="23"/>
      <c r="H37" s="23"/>
    </row>
    <row r="38" spans="1:8" x14ac:dyDescent="0.2">
      <c r="A38" t="s">
        <v>336</v>
      </c>
      <c r="F38" s="23"/>
      <c r="G38" s="23"/>
      <c r="H38" s="23">
        <f>SUM(H7:H37)</f>
        <v>500701.27999999997</v>
      </c>
    </row>
    <row r="39" spans="1:8" x14ac:dyDescent="0.2">
      <c r="F39" s="23"/>
      <c r="G39" s="23"/>
      <c r="H39" s="23"/>
    </row>
    <row r="40" spans="1:8" x14ac:dyDescent="0.2">
      <c r="F40" s="23"/>
      <c r="G40" s="23"/>
      <c r="H40" s="23"/>
    </row>
    <row r="41" spans="1:8" x14ac:dyDescent="0.2">
      <c r="F41" s="23"/>
      <c r="G41" s="23"/>
      <c r="H41" s="23"/>
    </row>
    <row r="42" spans="1:8" x14ac:dyDescent="0.2">
      <c r="F42" s="23"/>
      <c r="G42" s="23"/>
      <c r="H42" s="23"/>
    </row>
    <row r="43" spans="1:8" x14ac:dyDescent="0.2">
      <c r="F43" s="23"/>
      <c r="G43" s="23"/>
      <c r="H43" s="23"/>
    </row>
    <row r="44" spans="1:8" x14ac:dyDescent="0.2">
      <c r="H44" s="23"/>
    </row>
    <row r="45" spans="1:8" x14ac:dyDescent="0.2">
      <c r="H45" s="23"/>
    </row>
  </sheetData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H101"/>
  <sheetViews>
    <sheetView topLeftCell="A6" zoomScaleNormal="100" workbookViewId="0">
      <selection activeCell="F92" sqref="F92"/>
    </sheetView>
  </sheetViews>
  <sheetFormatPr defaultRowHeight="12.75" x14ac:dyDescent="0.2"/>
  <cols>
    <col min="3" max="3" width="47.85546875" customWidth="1"/>
    <col min="4" max="4" width="7.42578125" customWidth="1"/>
    <col min="5" max="6" width="11.28515625" bestFit="1" customWidth="1"/>
  </cols>
  <sheetData>
    <row r="2" spans="1:8" x14ac:dyDescent="0.2">
      <c r="A2" s="7" t="s">
        <v>303</v>
      </c>
      <c r="B2" s="7"/>
      <c r="C2" s="7"/>
      <c r="D2" s="7"/>
      <c r="E2" s="7"/>
      <c r="F2" s="7"/>
    </row>
    <row r="3" spans="1:8" x14ac:dyDescent="0.2">
      <c r="A3" s="7"/>
      <c r="B3" s="7"/>
      <c r="C3" s="7"/>
      <c r="D3" s="7"/>
      <c r="E3" s="7"/>
      <c r="F3" s="7"/>
    </row>
    <row r="4" spans="1:8" ht="14.25" x14ac:dyDescent="0.2">
      <c r="A4" s="7" t="s">
        <v>304</v>
      </c>
      <c r="B4" s="7"/>
      <c r="C4" s="19" t="s">
        <v>351</v>
      </c>
      <c r="D4" s="7"/>
      <c r="E4" s="7"/>
      <c r="F4" s="7"/>
    </row>
    <row r="5" spans="1:8" ht="14.25" x14ac:dyDescent="0.2">
      <c r="A5" s="7" t="s">
        <v>306</v>
      </c>
      <c r="B5" s="7"/>
      <c r="C5" s="19" t="s">
        <v>451</v>
      </c>
      <c r="D5" s="7"/>
    </row>
    <row r="6" spans="1:8" x14ac:dyDescent="0.2">
      <c r="A6" s="7"/>
      <c r="B6" s="7"/>
      <c r="C6" s="7"/>
      <c r="D6" s="7"/>
      <c r="E6" s="24" t="s">
        <v>658</v>
      </c>
      <c r="F6" s="24" t="s">
        <v>805</v>
      </c>
    </row>
    <row r="7" spans="1:8" ht="14.25" x14ac:dyDescent="0.2">
      <c r="A7" s="8" t="s">
        <v>308</v>
      </c>
      <c r="B7" s="7"/>
      <c r="C7" s="30" t="s">
        <v>309</v>
      </c>
      <c r="D7" s="7"/>
      <c r="E7" s="30" t="s">
        <v>310</v>
      </c>
      <c r="F7" s="30" t="s">
        <v>781</v>
      </c>
    </row>
    <row r="9" spans="1:8" ht="14.25" x14ac:dyDescent="0.2">
      <c r="A9" s="26">
        <v>510.01</v>
      </c>
      <c r="B9" s="26"/>
      <c r="C9" s="19" t="s">
        <v>460</v>
      </c>
      <c r="D9" s="26"/>
      <c r="E9" s="28">
        <f>250*12</f>
        <v>3000</v>
      </c>
      <c r="F9" s="28"/>
      <c r="H9" s="24"/>
    </row>
    <row r="10" spans="1:8" ht="14.25" x14ac:dyDescent="0.2">
      <c r="A10" s="19">
        <v>510.03</v>
      </c>
      <c r="B10" s="19"/>
      <c r="C10" s="19" t="s">
        <v>314</v>
      </c>
      <c r="D10" s="19"/>
      <c r="E10" s="28">
        <v>1200</v>
      </c>
      <c r="F10" s="28"/>
    </row>
    <row r="11" spans="1:8" ht="14.25" x14ac:dyDescent="0.2">
      <c r="A11" s="19"/>
      <c r="B11" s="19"/>
      <c r="C11" s="19" t="s">
        <v>505</v>
      </c>
      <c r="D11" s="19"/>
      <c r="E11" s="35">
        <v>7000</v>
      </c>
      <c r="F11" s="35"/>
    </row>
    <row r="12" spans="1:8" ht="14.25" x14ac:dyDescent="0.2">
      <c r="A12" s="19"/>
      <c r="B12" s="19"/>
      <c r="C12" s="19" t="s">
        <v>12</v>
      </c>
      <c r="D12" s="19"/>
      <c r="E12" s="28">
        <f>SUM(E10:E11)</f>
        <v>8200</v>
      </c>
      <c r="F12" s="28">
        <v>10000</v>
      </c>
    </row>
    <row r="13" spans="1:8" ht="14.25" x14ac:dyDescent="0.2">
      <c r="A13" s="21">
        <v>510.05</v>
      </c>
      <c r="B13" s="19"/>
      <c r="C13" s="19" t="s">
        <v>571</v>
      </c>
      <c r="D13" s="19"/>
      <c r="E13" s="28">
        <f>7928*12</f>
        <v>95136</v>
      </c>
      <c r="F13" s="28"/>
    </row>
    <row r="14" spans="1:8" ht="14.25" x14ac:dyDescent="0.2">
      <c r="A14" s="21"/>
      <c r="B14" s="19"/>
      <c r="C14" s="19" t="s">
        <v>529</v>
      </c>
      <c r="D14" s="19"/>
      <c r="E14" s="28">
        <f>12*24*12</f>
        <v>3456</v>
      </c>
      <c r="F14" s="28"/>
    </row>
    <row r="15" spans="1:8" ht="14.25" x14ac:dyDescent="0.2">
      <c r="A15" s="21"/>
      <c r="B15" s="19"/>
      <c r="C15" s="19" t="s">
        <v>423</v>
      </c>
      <c r="D15" s="19"/>
      <c r="E15" s="28">
        <f>+'Personnel Sched-W&amp;S O&amp;M '!H38*0.00515</f>
        <v>2578.6115919999997</v>
      </c>
      <c r="F15" s="28"/>
    </row>
    <row r="16" spans="1:8" ht="14.25" x14ac:dyDescent="0.2">
      <c r="A16" s="21"/>
      <c r="B16" s="19"/>
      <c r="C16" s="19" t="s">
        <v>530</v>
      </c>
      <c r="D16" s="19"/>
      <c r="E16" s="28">
        <f>36*12</f>
        <v>432</v>
      </c>
      <c r="F16" s="28"/>
    </row>
    <row r="17" spans="1:6" ht="14.25" x14ac:dyDescent="0.2">
      <c r="A17" s="21"/>
      <c r="B17" s="19"/>
      <c r="C17" s="19" t="s">
        <v>531</v>
      </c>
      <c r="D17" s="19"/>
      <c r="E17" s="28">
        <f>55*12</f>
        <v>660</v>
      </c>
      <c r="F17" s="28"/>
    </row>
    <row r="18" spans="1:6" ht="14.25" x14ac:dyDescent="0.2">
      <c r="A18" s="21"/>
      <c r="B18" s="19"/>
      <c r="C18" s="19" t="s">
        <v>313</v>
      </c>
      <c r="D18" s="19"/>
      <c r="E18" s="28">
        <f>SUM(E13:E17)</f>
        <v>102262.611592</v>
      </c>
      <c r="F18" s="28"/>
    </row>
    <row r="19" spans="1:6" ht="14.25" x14ac:dyDescent="0.2">
      <c r="A19" s="21">
        <v>510.06</v>
      </c>
      <c r="B19" s="19"/>
      <c r="C19" s="19" t="s">
        <v>317</v>
      </c>
      <c r="D19" s="19"/>
      <c r="E19" s="28">
        <f>+'Personnel Sched-W&amp;S O&amp;M '!H38*0.0765</f>
        <v>38303.647919999996</v>
      </c>
      <c r="F19" s="28"/>
    </row>
    <row r="20" spans="1:6" ht="14.25" x14ac:dyDescent="0.2">
      <c r="A20" s="21">
        <v>510.07</v>
      </c>
      <c r="B20" s="19"/>
      <c r="C20" s="19" t="s">
        <v>782</v>
      </c>
      <c r="D20" s="19"/>
      <c r="E20" s="28">
        <f>+'Personnel Sched-W&amp;S O&amp;M '!H38*0.0464</f>
        <v>23232.539391999999</v>
      </c>
      <c r="F20" s="28"/>
    </row>
    <row r="21" spans="1:6" s="76" customFormat="1" ht="14.25" x14ac:dyDescent="0.2">
      <c r="A21" s="48">
        <v>510.08</v>
      </c>
      <c r="B21" s="46"/>
      <c r="C21" s="46" t="s">
        <v>612</v>
      </c>
      <c r="D21" s="46"/>
      <c r="E21" s="49">
        <f>+(('Personnel Sched-W&amp;S O&amp;M '!H38-'Personnel Sched-W&amp;S O&amp;M '!H34)*1.03)*0.0262</f>
        <v>13511.92474208</v>
      </c>
      <c r="F21" s="49"/>
    </row>
    <row r="22" spans="1:6" s="76" customFormat="1" ht="14.25" x14ac:dyDescent="0.2">
      <c r="A22" s="48"/>
      <c r="B22" s="46"/>
      <c r="C22" s="46" t="s">
        <v>454</v>
      </c>
      <c r="D22" s="46"/>
      <c r="E22" s="50">
        <f>+('Personnel Sched-W&amp;S O&amp;M '!H34*1.03)*0.0027</f>
        <v>0</v>
      </c>
      <c r="F22" s="50"/>
    </row>
    <row r="23" spans="1:6" ht="14.25" x14ac:dyDescent="0.2">
      <c r="A23" s="21"/>
      <c r="B23" s="19"/>
      <c r="C23" s="19" t="s">
        <v>12</v>
      </c>
      <c r="D23" s="19"/>
      <c r="E23" s="28">
        <f>SUM(E21:E22)</f>
        <v>13511.92474208</v>
      </c>
      <c r="F23" s="28"/>
    </row>
    <row r="24" spans="1:6" ht="14.25" x14ac:dyDescent="0.2">
      <c r="A24" s="21">
        <v>510.09</v>
      </c>
      <c r="B24" s="19"/>
      <c r="C24" s="19" t="s">
        <v>747</v>
      </c>
      <c r="D24" s="19"/>
      <c r="E24" s="28">
        <v>3000</v>
      </c>
      <c r="F24" s="28"/>
    </row>
    <row r="25" spans="1:6" ht="14.25" x14ac:dyDescent="0.2">
      <c r="B25" s="19"/>
      <c r="C25" s="19" t="s">
        <v>541</v>
      </c>
      <c r="D25" s="19"/>
      <c r="E25" s="66">
        <v>4000</v>
      </c>
      <c r="F25" s="66"/>
    </row>
    <row r="26" spans="1:6" ht="14.25" x14ac:dyDescent="0.2">
      <c r="A26" s="21"/>
      <c r="B26" s="19"/>
      <c r="C26" s="19"/>
      <c r="D26" s="19"/>
      <c r="E26" s="28">
        <f>SUM(E24:E25)</f>
        <v>7000</v>
      </c>
      <c r="F26" s="28"/>
    </row>
    <row r="27" spans="1:6" ht="14.25" x14ac:dyDescent="0.2">
      <c r="A27" s="21">
        <v>510.12</v>
      </c>
      <c r="B27" s="19"/>
      <c r="C27" s="19" t="s">
        <v>542</v>
      </c>
      <c r="D27" s="19"/>
      <c r="E27" s="49">
        <f>+(12*150)+1650</f>
        <v>3450</v>
      </c>
      <c r="F27" s="49"/>
    </row>
    <row r="28" spans="1:6" ht="14.25" x14ac:dyDescent="0.2">
      <c r="A28" s="26"/>
      <c r="B28" s="26"/>
      <c r="C28" s="26"/>
      <c r="D28" s="26"/>
      <c r="E28" s="28"/>
      <c r="F28" s="28"/>
    </row>
    <row r="29" spans="1:6" ht="14.25" x14ac:dyDescent="0.2">
      <c r="A29" s="26">
        <v>520.01</v>
      </c>
      <c r="B29" s="26"/>
      <c r="C29" s="26" t="s">
        <v>133</v>
      </c>
      <c r="D29" s="26"/>
      <c r="E29" s="28"/>
      <c r="F29" s="28">
        <v>3000</v>
      </c>
    </row>
    <row r="30" spans="1:6" ht="14.25" x14ac:dyDescent="0.2">
      <c r="A30" s="26">
        <v>520.03</v>
      </c>
      <c r="B30" s="26"/>
      <c r="C30" s="26" t="s">
        <v>891</v>
      </c>
      <c r="D30" s="26"/>
      <c r="E30" s="28"/>
      <c r="F30" s="28">
        <v>500</v>
      </c>
    </row>
    <row r="31" spans="1:6" ht="14.25" x14ac:dyDescent="0.2">
      <c r="A31" s="26">
        <v>520.04</v>
      </c>
      <c r="B31" s="26"/>
      <c r="C31" s="26" t="s">
        <v>646</v>
      </c>
      <c r="D31" s="26"/>
      <c r="E31" s="28">
        <v>12000</v>
      </c>
      <c r="F31" s="28"/>
    </row>
    <row r="32" spans="1:6" ht="14.25" x14ac:dyDescent="0.2">
      <c r="A32" s="26"/>
      <c r="B32" s="26"/>
      <c r="C32" s="26" t="s">
        <v>518</v>
      </c>
      <c r="D32" s="26"/>
      <c r="E32" s="50">
        <v>8000</v>
      </c>
      <c r="F32" s="50"/>
    </row>
    <row r="33" spans="1:6" ht="14.25" x14ac:dyDescent="0.2">
      <c r="A33" s="26"/>
      <c r="B33" s="26"/>
      <c r="C33" s="26" t="s">
        <v>12</v>
      </c>
      <c r="D33" s="26"/>
      <c r="E33" s="28">
        <f>SUM(E31:E32)</f>
        <v>20000</v>
      </c>
      <c r="F33" s="28">
        <v>20000</v>
      </c>
    </row>
    <row r="34" spans="1:6" ht="14.25" x14ac:dyDescent="0.2">
      <c r="A34" s="26">
        <v>520.05999999999995</v>
      </c>
      <c r="B34" s="26"/>
      <c r="C34" s="26" t="s">
        <v>199</v>
      </c>
      <c r="D34" s="26"/>
      <c r="E34" s="28"/>
      <c r="F34" s="28">
        <v>15000</v>
      </c>
    </row>
    <row r="35" spans="1:6" ht="14.25" x14ac:dyDescent="0.2">
      <c r="A35" s="26">
        <v>520.07000000000005</v>
      </c>
      <c r="B35" s="26"/>
      <c r="C35" s="26" t="s">
        <v>434</v>
      </c>
      <c r="D35" s="26"/>
      <c r="E35" s="28"/>
      <c r="F35" s="28">
        <v>10000</v>
      </c>
    </row>
    <row r="36" spans="1:6" ht="14.25" x14ac:dyDescent="0.2">
      <c r="A36" s="26">
        <v>520.08000000000004</v>
      </c>
      <c r="B36" s="26"/>
      <c r="C36" s="26" t="s">
        <v>435</v>
      </c>
      <c r="D36" s="26"/>
      <c r="E36" s="28"/>
      <c r="F36" s="28">
        <v>1200</v>
      </c>
    </row>
    <row r="37" spans="1:6" ht="14.25" x14ac:dyDescent="0.2">
      <c r="A37" s="26">
        <v>520.09</v>
      </c>
      <c r="B37" s="26"/>
      <c r="C37" s="26" t="s">
        <v>519</v>
      </c>
      <c r="D37" s="26"/>
      <c r="E37" s="28">
        <v>5000</v>
      </c>
      <c r="F37" s="28">
        <v>8500</v>
      </c>
    </row>
    <row r="38" spans="1:6" ht="14.25" x14ac:dyDescent="0.2">
      <c r="A38" s="29">
        <v>520.1</v>
      </c>
      <c r="B38" s="26"/>
      <c r="C38" s="26" t="s">
        <v>673</v>
      </c>
      <c r="D38" s="26"/>
      <c r="E38" s="28"/>
      <c r="F38" s="28">
        <v>5000</v>
      </c>
    </row>
    <row r="39" spans="1:6" ht="14.25" x14ac:dyDescent="0.2">
      <c r="A39" s="26">
        <v>520.12</v>
      </c>
      <c r="B39" s="26"/>
      <c r="C39" s="26" t="s">
        <v>204</v>
      </c>
      <c r="D39" s="26"/>
      <c r="E39" s="28"/>
      <c r="F39" s="28">
        <v>6000</v>
      </c>
    </row>
    <row r="40" spans="1:6" ht="14.25" x14ac:dyDescent="0.2">
      <c r="A40" s="26">
        <v>520.13</v>
      </c>
      <c r="B40" s="26"/>
      <c r="C40" s="26" t="s">
        <v>807</v>
      </c>
      <c r="D40" s="26"/>
      <c r="E40" s="28"/>
      <c r="F40" s="28">
        <v>3000</v>
      </c>
    </row>
    <row r="41" spans="1:6" ht="14.25" x14ac:dyDescent="0.2">
      <c r="A41" s="26"/>
      <c r="B41" s="26"/>
      <c r="C41" s="26"/>
      <c r="D41" s="26"/>
      <c r="E41" s="28"/>
      <c r="F41" s="28"/>
    </row>
    <row r="42" spans="1:6" ht="14.25" x14ac:dyDescent="0.2">
      <c r="A42" s="26">
        <v>530.01</v>
      </c>
      <c r="B42" s="26"/>
      <c r="C42" s="26" t="s">
        <v>613</v>
      </c>
      <c r="D42" s="26"/>
      <c r="E42" s="28">
        <v>6000</v>
      </c>
      <c r="F42" s="28"/>
    </row>
    <row r="43" spans="1:6" ht="14.25" x14ac:dyDescent="0.2">
      <c r="A43" s="26"/>
      <c r="B43" s="26"/>
      <c r="C43" s="26" t="s">
        <v>614</v>
      </c>
      <c r="D43" s="26"/>
      <c r="E43" s="28">
        <v>5000</v>
      </c>
      <c r="F43" s="28"/>
    </row>
    <row r="44" spans="1:6" ht="14.25" x14ac:dyDescent="0.2">
      <c r="A44" s="26"/>
      <c r="B44" s="26"/>
      <c r="C44" s="26" t="s">
        <v>647</v>
      </c>
      <c r="D44" s="26"/>
      <c r="E44" s="50">
        <v>5000</v>
      </c>
      <c r="F44" s="50"/>
    </row>
    <row r="45" spans="1:6" ht="14.25" x14ac:dyDescent="0.2">
      <c r="A45" s="26"/>
      <c r="B45" s="26"/>
      <c r="C45" s="26" t="s">
        <v>12</v>
      </c>
      <c r="D45" s="26"/>
      <c r="E45" s="28">
        <f>SUM(E42:E44)</f>
        <v>16000</v>
      </c>
      <c r="F45" s="28">
        <v>25000</v>
      </c>
    </row>
    <row r="46" spans="1:6" ht="14.25" x14ac:dyDescent="0.2">
      <c r="A46" s="26">
        <v>530.02</v>
      </c>
      <c r="B46" s="26"/>
      <c r="C46" s="26" t="s">
        <v>615</v>
      </c>
      <c r="D46" s="26"/>
      <c r="E46" s="28">
        <v>1800</v>
      </c>
      <c r="F46" s="28"/>
    </row>
    <row r="47" spans="1:6" ht="14.25" x14ac:dyDescent="0.2">
      <c r="A47" s="26"/>
      <c r="B47" s="26"/>
      <c r="C47" s="26" t="s">
        <v>483</v>
      </c>
      <c r="D47" s="26"/>
      <c r="E47" s="35">
        <v>1700</v>
      </c>
      <c r="F47" s="35"/>
    </row>
    <row r="48" spans="1:6" ht="14.25" x14ac:dyDescent="0.2">
      <c r="A48" s="26"/>
      <c r="B48" s="26"/>
      <c r="C48" s="26" t="s">
        <v>12</v>
      </c>
      <c r="D48" s="26"/>
      <c r="E48" s="28">
        <f>SUM(E46:E47)</f>
        <v>3500</v>
      </c>
      <c r="F48" s="28">
        <v>6000</v>
      </c>
    </row>
    <row r="49" spans="1:6" ht="14.25" x14ac:dyDescent="0.2">
      <c r="A49" s="26">
        <v>530.04</v>
      </c>
      <c r="B49" s="26"/>
      <c r="C49" s="26" t="s">
        <v>484</v>
      </c>
      <c r="D49" s="26"/>
      <c r="E49" s="28">
        <v>3500</v>
      </c>
      <c r="F49" s="28">
        <v>3500</v>
      </c>
    </row>
    <row r="50" spans="1:6" ht="14.25" x14ac:dyDescent="0.2">
      <c r="A50" s="26">
        <v>530.04999999999995</v>
      </c>
      <c r="B50" s="26"/>
      <c r="C50" s="26" t="s">
        <v>18</v>
      </c>
      <c r="D50" s="26"/>
      <c r="E50" s="28"/>
      <c r="F50" s="28">
        <v>300</v>
      </c>
    </row>
    <row r="51" spans="1:6" ht="14.25" x14ac:dyDescent="0.2">
      <c r="A51" s="26">
        <v>530.05999999999995</v>
      </c>
      <c r="B51" s="26"/>
      <c r="C51" s="26" t="s">
        <v>520</v>
      </c>
      <c r="D51" s="26"/>
      <c r="E51" s="28">
        <v>2000</v>
      </c>
      <c r="F51" s="28">
        <v>2000</v>
      </c>
    </row>
    <row r="52" spans="1:6" ht="14.25" x14ac:dyDescent="0.2">
      <c r="A52" s="26">
        <v>530.11</v>
      </c>
      <c r="B52" s="26"/>
      <c r="C52" s="26" t="s">
        <v>2</v>
      </c>
      <c r="D52" s="26"/>
      <c r="E52" s="28">
        <f>2000*12</f>
        <v>24000</v>
      </c>
      <c r="F52" s="28">
        <v>20000</v>
      </c>
    </row>
    <row r="53" spans="1:6" ht="14.25" x14ac:dyDescent="0.2">
      <c r="A53" s="26">
        <v>530.13</v>
      </c>
      <c r="B53" s="26"/>
      <c r="C53" s="26" t="s">
        <v>260</v>
      </c>
      <c r="D53" s="26"/>
      <c r="E53" s="28"/>
      <c r="F53" s="28">
        <v>3500</v>
      </c>
    </row>
    <row r="54" spans="1:6" ht="14.25" x14ac:dyDescent="0.2">
      <c r="A54" s="29">
        <v>530.20000000000005</v>
      </c>
      <c r="B54" s="26"/>
      <c r="C54" s="26" t="s">
        <v>521</v>
      </c>
      <c r="D54" s="26"/>
      <c r="E54" s="28">
        <v>4000</v>
      </c>
      <c r="F54" s="28"/>
    </row>
    <row r="55" spans="1:6" ht="14.25" x14ac:dyDescent="0.2">
      <c r="A55" s="29"/>
      <c r="B55" s="26"/>
      <c r="C55" s="26" t="s">
        <v>184</v>
      </c>
      <c r="D55" s="26"/>
      <c r="E55" s="35">
        <v>1000</v>
      </c>
      <c r="F55" s="35"/>
    </row>
    <row r="56" spans="1:6" ht="14.25" x14ac:dyDescent="0.2">
      <c r="A56" s="29"/>
      <c r="B56" s="26"/>
      <c r="C56" s="26" t="s">
        <v>12</v>
      </c>
      <c r="D56" s="26"/>
      <c r="E56" s="28">
        <f>SUM(E54:E55)</f>
        <v>5000</v>
      </c>
      <c r="F56" s="28">
        <v>5000</v>
      </c>
    </row>
    <row r="57" spans="1:6" ht="14.25" x14ac:dyDescent="0.2">
      <c r="A57" s="26"/>
      <c r="B57" s="26"/>
      <c r="C57" s="26"/>
      <c r="D57" s="26"/>
      <c r="E57" s="28"/>
      <c r="F57" s="28"/>
    </row>
    <row r="58" spans="1:6" ht="14.25" x14ac:dyDescent="0.2">
      <c r="A58" s="26">
        <v>540.01</v>
      </c>
      <c r="B58" s="26"/>
      <c r="C58" s="26" t="s">
        <v>522</v>
      </c>
      <c r="D58" s="26"/>
      <c r="E58" s="28">
        <v>1500</v>
      </c>
      <c r="F58" s="28">
        <v>1500</v>
      </c>
    </row>
    <row r="59" spans="1:6" ht="14.25" x14ac:dyDescent="0.2">
      <c r="A59" s="26">
        <v>540.02</v>
      </c>
      <c r="B59" s="26"/>
      <c r="C59" s="26" t="s">
        <v>409</v>
      </c>
      <c r="D59" s="26"/>
      <c r="E59" s="28"/>
      <c r="F59" s="28">
        <v>100</v>
      </c>
    </row>
    <row r="60" spans="1:6" ht="14.25" x14ac:dyDescent="0.2">
      <c r="A60" s="26"/>
      <c r="B60" s="26"/>
      <c r="C60" s="26"/>
      <c r="D60" s="26"/>
      <c r="E60" s="28"/>
      <c r="F60" s="28"/>
    </row>
    <row r="61" spans="1:6" ht="14.25" x14ac:dyDescent="0.2">
      <c r="A61" s="26">
        <v>550.01</v>
      </c>
      <c r="B61" s="26"/>
      <c r="C61" s="26" t="s">
        <v>173</v>
      </c>
      <c r="D61" s="26"/>
      <c r="E61" s="28"/>
      <c r="F61" s="28">
        <v>1000</v>
      </c>
    </row>
    <row r="62" spans="1:6" ht="14.25" x14ac:dyDescent="0.2">
      <c r="A62" s="26">
        <v>550.03</v>
      </c>
      <c r="B62" s="26"/>
      <c r="C62" s="26" t="s">
        <v>616</v>
      </c>
      <c r="D62" s="26"/>
      <c r="E62" s="28">
        <v>12000</v>
      </c>
      <c r="F62" s="28">
        <v>12000</v>
      </c>
    </row>
    <row r="63" spans="1:6" ht="14.25" x14ac:dyDescent="0.2">
      <c r="A63" s="26">
        <v>550.04</v>
      </c>
      <c r="B63" s="26"/>
      <c r="C63" s="26" t="s">
        <v>617</v>
      </c>
      <c r="D63" s="26"/>
      <c r="E63" s="28">
        <v>12000</v>
      </c>
      <c r="F63" s="28">
        <v>12000</v>
      </c>
    </row>
    <row r="64" spans="1:6" ht="14.25" x14ac:dyDescent="0.2">
      <c r="A64" s="26">
        <v>550.05999999999995</v>
      </c>
      <c r="B64" s="26"/>
      <c r="C64" s="26" t="s">
        <v>523</v>
      </c>
      <c r="D64" s="26"/>
      <c r="E64" s="28">
        <v>1500</v>
      </c>
      <c r="F64" s="28">
        <v>1500</v>
      </c>
    </row>
    <row r="65" spans="1:6" ht="14.25" x14ac:dyDescent="0.2">
      <c r="A65" s="26"/>
      <c r="B65" s="26"/>
      <c r="C65" s="26"/>
      <c r="D65" s="26"/>
      <c r="E65" s="28"/>
      <c r="F65" s="28"/>
    </row>
    <row r="66" spans="1:6" ht="14.25" x14ac:dyDescent="0.2">
      <c r="A66" s="26">
        <v>560.02</v>
      </c>
      <c r="B66" s="26"/>
      <c r="C66" s="26" t="s">
        <v>618</v>
      </c>
      <c r="D66" s="26"/>
      <c r="E66" s="28">
        <v>1000</v>
      </c>
      <c r="F66" s="28">
        <v>1000</v>
      </c>
    </row>
    <row r="67" spans="1:6" ht="14.25" x14ac:dyDescent="0.2">
      <c r="A67" s="26">
        <v>560.09</v>
      </c>
      <c r="B67" s="26"/>
      <c r="C67" s="26" t="s">
        <v>408</v>
      </c>
      <c r="D67" s="26"/>
      <c r="E67" s="28"/>
      <c r="F67" s="28">
        <v>1500</v>
      </c>
    </row>
    <row r="68" spans="1:6" ht="14.25" x14ac:dyDescent="0.2">
      <c r="A68" s="29">
        <v>560.1</v>
      </c>
      <c r="B68" s="26"/>
      <c r="C68" s="26" t="s">
        <v>490</v>
      </c>
      <c r="D68" s="26"/>
      <c r="E68" s="28">
        <v>2500</v>
      </c>
      <c r="F68" s="28"/>
    </row>
    <row r="69" spans="1:6" ht="14.25" x14ac:dyDescent="0.2">
      <c r="A69" s="29"/>
      <c r="B69" s="26"/>
      <c r="C69" s="26" t="s">
        <v>750</v>
      </c>
      <c r="D69" s="26"/>
      <c r="E69" s="28">
        <v>2500</v>
      </c>
      <c r="F69" s="28"/>
    </row>
    <row r="70" spans="1:6" ht="14.25" x14ac:dyDescent="0.2">
      <c r="A70" s="29"/>
      <c r="B70" s="26"/>
      <c r="C70" s="26" t="s">
        <v>524</v>
      </c>
      <c r="D70" s="26"/>
      <c r="E70" s="35">
        <v>2500</v>
      </c>
      <c r="F70" s="35"/>
    </row>
    <row r="71" spans="1:6" ht="14.25" x14ac:dyDescent="0.2">
      <c r="A71" s="29"/>
      <c r="B71" s="26"/>
      <c r="C71" s="26" t="s">
        <v>12</v>
      </c>
      <c r="D71" s="26"/>
      <c r="E71" s="28">
        <f>SUM(E68:E70)</f>
        <v>7500</v>
      </c>
      <c r="F71" s="28">
        <v>10000</v>
      </c>
    </row>
    <row r="72" spans="1:6" ht="14.25" x14ac:dyDescent="0.2">
      <c r="A72" s="26"/>
      <c r="B72" s="26"/>
      <c r="C72" s="26"/>
      <c r="D72" s="26"/>
      <c r="E72" s="28"/>
      <c r="F72" s="28"/>
    </row>
    <row r="73" spans="1:6" ht="14.25" x14ac:dyDescent="0.2">
      <c r="A73" s="26">
        <v>580.01</v>
      </c>
      <c r="B73" s="26"/>
      <c r="C73" s="26" t="s">
        <v>621</v>
      </c>
      <c r="D73" s="26"/>
      <c r="E73" s="28">
        <v>30000</v>
      </c>
      <c r="F73" s="28"/>
    </row>
    <row r="74" spans="1:6" ht="14.25" x14ac:dyDescent="0.2">
      <c r="A74" s="26"/>
      <c r="B74" s="26"/>
      <c r="C74" s="26" t="s">
        <v>620</v>
      </c>
      <c r="D74" s="26"/>
      <c r="E74" s="35">
        <v>5000</v>
      </c>
      <c r="F74" s="35"/>
    </row>
    <row r="75" spans="1:6" ht="14.25" x14ac:dyDescent="0.2">
      <c r="A75" s="26"/>
      <c r="B75" s="26"/>
      <c r="C75" s="26" t="s">
        <v>12</v>
      </c>
      <c r="D75" s="26"/>
      <c r="E75" s="28">
        <f>SUM(E73:E74)</f>
        <v>35000</v>
      </c>
      <c r="F75" s="28">
        <v>35000</v>
      </c>
    </row>
    <row r="76" spans="1:6" ht="14.25" x14ac:dyDescent="0.2">
      <c r="A76" s="26">
        <v>580.11</v>
      </c>
      <c r="B76" s="26"/>
      <c r="C76" s="26" t="s">
        <v>619</v>
      </c>
      <c r="D76" s="26"/>
      <c r="E76" s="28">
        <v>10500</v>
      </c>
      <c r="F76" s="28">
        <v>21000</v>
      </c>
    </row>
    <row r="77" spans="1:6" ht="14.25" x14ac:dyDescent="0.2">
      <c r="A77" s="26">
        <v>580.14</v>
      </c>
      <c r="B77" s="26"/>
      <c r="C77" s="26" t="s">
        <v>210</v>
      </c>
      <c r="D77" s="26"/>
      <c r="E77" s="28"/>
      <c r="F77" s="28">
        <v>5000</v>
      </c>
    </row>
    <row r="78" spans="1:6" ht="14.25" x14ac:dyDescent="0.2">
      <c r="A78" s="26">
        <v>580.16</v>
      </c>
      <c r="B78" s="26"/>
      <c r="C78" s="26" t="s">
        <v>525</v>
      </c>
      <c r="D78" s="26"/>
      <c r="E78" s="28">
        <v>30000</v>
      </c>
      <c r="F78" s="28">
        <v>30000</v>
      </c>
    </row>
    <row r="79" spans="1:6" ht="14.25" x14ac:dyDescent="0.2">
      <c r="A79" s="26"/>
      <c r="B79" s="26"/>
      <c r="C79" s="26"/>
      <c r="D79" s="26"/>
      <c r="E79" s="28"/>
      <c r="F79" s="28"/>
    </row>
    <row r="80" spans="1:6" ht="14.25" x14ac:dyDescent="0.2">
      <c r="A80" s="26">
        <v>590.02</v>
      </c>
      <c r="B80" s="26"/>
      <c r="C80" s="26" t="s">
        <v>526</v>
      </c>
      <c r="D80" s="26"/>
      <c r="E80" s="49">
        <v>3000</v>
      </c>
      <c r="F80" s="49">
        <v>15000</v>
      </c>
    </row>
    <row r="81" spans="1:6" ht="14.25" x14ac:dyDescent="0.2">
      <c r="A81" s="26">
        <v>590.03</v>
      </c>
      <c r="B81" s="26"/>
      <c r="C81" s="26" t="s">
        <v>749</v>
      </c>
      <c r="D81" s="26"/>
      <c r="E81" s="28">
        <f>51000-27200</f>
        <v>23800</v>
      </c>
      <c r="F81" s="28"/>
    </row>
    <row r="82" spans="1:6" s="384" customFormat="1" ht="14.25" x14ac:dyDescent="0.2">
      <c r="A82" s="382"/>
      <c r="B82" s="382"/>
      <c r="C82" s="382" t="s">
        <v>748</v>
      </c>
      <c r="D82" s="382"/>
      <c r="E82" s="385">
        <f>(41000+1600)/3</f>
        <v>14200</v>
      </c>
      <c r="F82" s="385"/>
    </row>
    <row r="83" spans="1:6" s="384" customFormat="1" ht="14.25" x14ac:dyDescent="0.2">
      <c r="A83" s="382"/>
      <c r="B83" s="382"/>
      <c r="C83" s="382" t="s">
        <v>746</v>
      </c>
      <c r="D83" s="382"/>
      <c r="E83" s="383">
        <v>13000</v>
      </c>
      <c r="F83" s="383"/>
    </row>
    <row r="84" spans="1:6" ht="14.25" x14ac:dyDescent="0.2">
      <c r="A84" s="26"/>
      <c r="B84" s="26"/>
      <c r="C84" s="26" t="s">
        <v>12</v>
      </c>
      <c r="D84" s="26"/>
      <c r="E84" s="28">
        <f>SUM(E81:E83)</f>
        <v>51000</v>
      </c>
      <c r="F84" s="28">
        <v>30000</v>
      </c>
    </row>
    <row r="85" spans="1:6" s="384" customFormat="1" ht="14.25" x14ac:dyDescent="0.2">
      <c r="A85" s="382">
        <v>590.04</v>
      </c>
      <c r="B85" s="382"/>
      <c r="C85" s="382" t="s">
        <v>762</v>
      </c>
      <c r="D85" s="382"/>
      <c r="E85" s="385"/>
      <c r="F85" s="385"/>
    </row>
    <row r="86" spans="1:6" s="384" customFormat="1" ht="14.25" x14ac:dyDescent="0.2">
      <c r="A86" s="382"/>
      <c r="B86" s="382"/>
      <c r="C86" s="382" t="s">
        <v>760</v>
      </c>
      <c r="D86" s="382"/>
      <c r="E86" s="385">
        <v>9200</v>
      </c>
      <c r="F86" s="385"/>
    </row>
    <row r="87" spans="1:6" s="384" customFormat="1" ht="14.25" x14ac:dyDescent="0.2">
      <c r="A87" s="382"/>
      <c r="B87" s="382"/>
      <c r="C87" s="382" t="s">
        <v>761</v>
      </c>
      <c r="D87" s="382"/>
      <c r="E87" s="383">
        <v>26200</v>
      </c>
      <c r="F87" s="383"/>
    </row>
    <row r="88" spans="1:6" ht="14.25" x14ac:dyDescent="0.2">
      <c r="A88" s="26"/>
      <c r="B88" s="26"/>
      <c r="C88" s="26" t="s">
        <v>12</v>
      </c>
      <c r="D88" s="26"/>
      <c r="E88" s="28">
        <f>SUM(E85:E87)</f>
        <v>35400</v>
      </c>
      <c r="F88" s="28">
        <v>54000</v>
      </c>
    </row>
    <row r="89" spans="1:6" ht="14.25" x14ac:dyDescent="0.2">
      <c r="A89" s="26"/>
      <c r="B89" s="26"/>
      <c r="C89" s="26"/>
      <c r="D89" s="26"/>
      <c r="E89" s="28"/>
      <c r="F89" s="28"/>
    </row>
    <row r="90" spans="1:6" ht="14.25" x14ac:dyDescent="0.2">
      <c r="A90" s="26">
        <v>620.04999999999995</v>
      </c>
      <c r="B90" s="26"/>
      <c r="C90" s="26" t="s">
        <v>503</v>
      </c>
      <c r="D90" s="26"/>
      <c r="E90" s="28">
        <v>300000</v>
      </c>
      <c r="F90" s="28">
        <v>287500</v>
      </c>
    </row>
    <row r="91" spans="1:6" ht="14.25" x14ac:dyDescent="0.2">
      <c r="A91" s="29">
        <v>620.1</v>
      </c>
      <c r="B91" s="26"/>
      <c r="C91" s="26" t="s">
        <v>539</v>
      </c>
      <c r="D91" s="26"/>
      <c r="E91" s="28">
        <v>28000</v>
      </c>
      <c r="F91" s="28">
        <v>28000</v>
      </c>
    </row>
    <row r="92" spans="1:6" ht="14.25" x14ac:dyDescent="0.2">
      <c r="A92" s="26"/>
      <c r="B92" s="26"/>
      <c r="C92" s="26"/>
      <c r="D92" s="26"/>
      <c r="E92" s="28"/>
      <c r="F92" s="28"/>
    </row>
    <row r="93" spans="1:6" ht="14.25" x14ac:dyDescent="0.2">
      <c r="A93" s="32"/>
      <c r="B93" s="26"/>
      <c r="C93" s="26"/>
      <c r="D93" s="26"/>
      <c r="E93" s="28"/>
      <c r="F93" s="28"/>
    </row>
    <row r="94" spans="1:6" ht="14.25" x14ac:dyDescent="0.2">
      <c r="A94" s="26"/>
      <c r="B94" s="26"/>
      <c r="C94" s="26"/>
      <c r="D94" s="26"/>
      <c r="E94" s="28"/>
      <c r="F94" s="28"/>
    </row>
    <row r="95" spans="1:6" ht="14.25" x14ac:dyDescent="0.2">
      <c r="A95" s="26"/>
      <c r="B95" s="26"/>
      <c r="C95" s="26"/>
      <c r="D95" s="26"/>
      <c r="E95" s="28"/>
      <c r="F95" s="28"/>
    </row>
    <row r="96" spans="1:6" ht="14.25" x14ac:dyDescent="0.2">
      <c r="A96" s="26"/>
      <c r="B96" s="26"/>
      <c r="C96" s="26"/>
      <c r="D96" s="26"/>
      <c r="E96" s="26"/>
      <c r="F96" s="26"/>
    </row>
    <row r="97" spans="1:6" ht="14.25" x14ac:dyDescent="0.2">
      <c r="A97" s="26"/>
      <c r="B97" s="26"/>
      <c r="C97" s="26"/>
      <c r="D97" s="26"/>
      <c r="E97" s="26"/>
      <c r="F97" s="26"/>
    </row>
    <row r="98" spans="1:6" ht="14.25" x14ac:dyDescent="0.2">
      <c r="A98" s="26"/>
      <c r="B98" s="26"/>
      <c r="C98" s="26"/>
      <c r="D98" s="26"/>
      <c r="E98" s="26"/>
      <c r="F98" s="26"/>
    </row>
    <row r="99" spans="1:6" ht="14.25" x14ac:dyDescent="0.2">
      <c r="A99" s="26"/>
      <c r="B99" s="26"/>
      <c r="C99" s="26"/>
      <c r="D99" s="26"/>
      <c r="E99" s="26"/>
      <c r="F99" s="26"/>
    </row>
    <row r="100" spans="1:6" ht="14.25" x14ac:dyDescent="0.2">
      <c r="A100" s="26"/>
      <c r="B100" s="26"/>
      <c r="C100" s="26"/>
      <c r="D100" s="26"/>
      <c r="E100" s="26"/>
      <c r="F100" s="26"/>
    </row>
    <row r="101" spans="1:6" ht="14.25" x14ac:dyDescent="0.2">
      <c r="A101" s="26"/>
      <c r="B101" s="26"/>
      <c r="C101" s="26"/>
      <c r="D101" s="26"/>
      <c r="E101" s="26"/>
      <c r="F101" s="26"/>
    </row>
  </sheetData>
  <printOptions headings="1" gridLines="1"/>
  <pageMargins left="0.7" right="0" top="0.75" bottom="0.75" header="0.3" footer="0.3"/>
  <pageSetup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Proposed Budget</vt:lpstr>
      <vt:lpstr>Personnel Sched - Gen Admin</vt:lpstr>
      <vt:lpstr>Budget Req - Gen Admin</vt:lpstr>
      <vt:lpstr>Personnel Sched-PD</vt:lpstr>
      <vt:lpstr>Budget Req-PD</vt:lpstr>
      <vt:lpstr>Personnel Sched-Animal Cont</vt:lpstr>
      <vt:lpstr>Budget Req-Animal Cont.</vt:lpstr>
      <vt:lpstr>Budget Req-KVFD</vt:lpstr>
      <vt:lpstr>Personnel Sched-Comm D</vt:lpstr>
      <vt:lpstr>Budget Req-Comm Dev</vt:lpstr>
      <vt:lpstr>Personnel Sched-Street</vt:lpstr>
      <vt:lpstr>Budget Req-Street</vt:lpstr>
      <vt:lpstr>Budget Req-Emer Mgmt</vt:lpstr>
      <vt:lpstr>Budget Req-Airport</vt:lpstr>
      <vt:lpstr>Budget Req-Library</vt:lpstr>
      <vt:lpstr>Personnel Sched-Park</vt:lpstr>
      <vt:lpstr>Budget Req-Park</vt:lpstr>
      <vt:lpstr>Personnel Sched-Muni Court</vt:lpstr>
      <vt:lpstr>Budget Req-Muni Court</vt:lpstr>
      <vt:lpstr>Personnel Sched-Util Admin</vt:lpstr>
      <vt:lpstr>Budget Req-Util Admin</vt:lpstr>
      <vt:lpstr>Personnel Sched-WWTP</vt:lpstr>
      <vt:lpstr>Budget Req-WWTP</vt:lpstr>
      <vt:lpstr>Personnel Sched-RO</vt:lpstr>
      <vt:lpstr>Budget Req-RO</vt:lpstr>
      <vt:lpstr>Personnel Sched-W&amp;S O&amp;M </vt:lpstr>
      <vt:lpstr>Bud Req-W&amp;S O&amp;M</vt:lpstr>
      <vt:lpstr>'Budget Req-PD'!Print_Area</vt:lpstr>
      <vt:lpstr>'Proposed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Amanda Hines</cp:lastModifiedBy>
  <cp:lastPrinted>2018-08-29T21:03:46Z</cp:lastPrinted>
  <dcterms:created xsi:type="dcterms:W3CDTF">2006-08-28T23:35:03Z</dcterms:created>
  <dcterms:modified xsi:type="dcterms:W3CDTF">2018-11-06T22:30:49Z</dcterms:modified>
</cp:coreProperties>
</file>